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mtgov.sharepoint.com/sites/DEQMiningBureau/Shared Documents/Hard Rock Section/General/OP_Permits Shared Review/00030_ComprehensiveBondRev/"/>
    </mc:Choice>
  </mc:AlternateContent>
  <xr:revisionPtr revIDLastSave="13281" documentId="8_{B114E614-4080-4636-9967-3A8CA469C599}" xr6:coauthVersionLast="47" xr6:coauthVersionMax="47" xr10:uidLastSave="{D3ED0593-04C4-46F9-8E5E-08A74C7000C7}"/>
  <bookViews>
    <workbookView xWindow="25080" yWindow="-435" windowWidth="29040" windowHeight="15720" tabRatio="897" xr2:uid="{F9CD0E08-F377-4EC2-AFEC-C2941E8C7DEC}"/>
  </bookViews>
  <sheets>
    <sheet name="Summary" sheetId="23" r:id="rId1"/>
    <sheet name="Description" sheetId="5" r:id="rId2"/>
    <sheet name="AcreageTracking-MAP" sheetId="36" r:id="rId3"/>
    <sheet name="1-Facilities" sheetId="6" r:id="rId4"/>
    <sheet name="2-Earthmoving" sheetId="11" r:id="rId5"/>
    <sheet name="3-Revegetation" sheetId="21" r:id="rId6"/>
    <sheet name="4-Other" sheetId="22" r:id="rId7"/>
    <sheet name="5-Long-Term" sheetId="39" r:id="rId8"/>
    <sheet name="Labor Rates 2025" sheetId="32" r:id="rId9"/>
    <sheet name="Equipment Rates 2025" sheetId="33" r:id="rId10"/>
    <sheet name="Graphs" sheetId="24" r:id="rId11"/>
  </sheets>
  <definedNames>
    <definedName name="_xlnm.Print_Area" localSheetId="3">'1-Facilities'!$A$1:$I$81</definedName>
    <definedName name="_xlnm.Print_Area" localSheetId="4">'2-Earthmoving'!$A$1:$U$296</definedName>
    <definedName name="_xlnm.Print_Area" localSheetId="5">'3-Revegetation'!$A$1:$J$55</definedName>
    <definedName name="_xlnm.Print_Area" localSheetId="6">'4-Other'!$A$1:$H$93</definedName>
    <definedName name="_xlnm.Print_Area" localSheetId="7">'5-Long-Term'!$A$1:$H$78</definedName>
    <definedName name="_xlnm.Print_Area" localSheetId="1">Description!$A$1:$H$758</definedName>
    <definedName name="_xlnm.Print_Area" localSheetId="9">'Equipment Rates 2025'!$A$1:$F$128</definedName>
    <definedName name="_xlnm.Print_Area" localSheetId="0">Summary!$A$1:$E$41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23" l="1"/>
  <c r="C44" i="23"/>
  <c r="C33" i="23"/>
  <c r="C12" i="6" l="1"/>
  <c r="C11" i="6"/>
  <c r="C41" i="23"/>
  <c r="E40" i="23"/>
  <c r="E197" i="36" l="1"/>
  <c r="E201" i="36" s="1"/>
  <c r="E192" i="36"/>
  <c r="E203" i="36" l="1"/>
  <c r="D57" i="39" l="1"/>
  <c r="D35" i="39"/>
  <c r="G64" i="36"/>
  <c r="B14" i="21" s="1"/>
  <c r="G63" i="36"/>
  <c r="G77" i="36"/>
  <c r="G71" i="36"/>
  <c r="G72" i="36"/>
  <c r="G73" i="36"/>
  <c r="G65" i="36"/>
  <c r="G62" i="36"/>
  <c r="H631" i="11" s="1"/>
  <c r="G61" i="36"/>
  <c r="G60" i="36"/>
  <c r="G53" i="36"/>
  <c r="G52" i="36"/>
  <c r="G51" i="36"/>
  <c r="G50" i="36"/>
  <c r="G49" i="36"/>
  <c r="G46" i="36"/>
  <c r="G44" i="36"/>
  <c r="G43" i="36"/>
  <c r="G40" i="36"/>
  <c r="G38" i="36"/>
  <c r="G36" i="36"/>
  <c r="G33" i="36"/>
  <c r="G26" i="36"/>
  <c r="G24" i="36"/>
  <c r="G34" i="36"/>
  <c r="B46" i="21"/>
  <c r="D46" i="21"/>
  <c r="E227" i="36"/>
  <c r="D14" i="21"/>
  <c r="D28" i="21"/>
  <c r="H630" i="11"/>
  <c r="C15" i="6"/>
  <c r="Q40" i="11"/>
  <c r="O40" i="11"/>
  <c r="C40" i="11"/>
  <c r="F40" i="11" s="1"/>
  <c r="E224" i="36"/>
  <c r="E223" i="36"/>
  <c r="E222" i="36"/>
  <c r="E220" i="36"/>
  <c r="E219" i="36"/>
  <c r="E218" i="36"/>
  <c r="E217" i="36"/>
  <c r="E221" i="36" s="1"/>
  <c r="E215" i="36"/>
  <c r="E214" i="36"/>
  <c r="E213" i="36"/>
  <c r="E212" i="36"/>
  <c r="E216" i="36" s="1"/>
  <c r="E210" i="36"/>
  <c r="E209" i="36"/>
  <c r="E208" i="36"/>
  <c r="E207" i="36"/>
  <c r="E211" i="36" s="1"/>
  <c r="E205" i="36"/>
  <c r="E204" i="36"/>
  <c r="E202" i="36"/>
  <c r="E206" i="36" s="1"/>
  <c r="E200" i="36"/>
  <c r="E199" i="36"/>
  <c r="E198" i="36"/>
  <c r="E196" i="36"/>
  <c r="E195" i="36"/>
  <c r="E194" i="36"/>
  <c r="E193" i="36"/>
  <c r="G91" i="36"/>
  <c r="G96" i="36"/>
  <c r="G95" i="36"/>
  <c r="G94" i="36"/>
  <c r="G17" i="36"/>
  <c r="G87" i="36"/>
  <c r="G86" i="36"/>
  <c r="G82" i="36"/>
  <c r="G81" i="36"/>
  <c r="G58" i="36"/>
  <c r="G57" i="36"/>
  <c r="G56" i="36"/>
  <c r="G54" i="36"/>
  <c r="G45" i="36"/>
  <c r="K40" i="11" s="1"/>
  <c r="G9" i="36"/>
  <c r="G15" i="36"/>
  <c r="G22" i="36"/>
  <c r="G23" i="36"/>
  <c r="G28" i="36"/>
  <c r="G29" i="36"/>
  <c r="G35" i="36"/>
  <c r="G66" i="36" l="1"/>
  <c r="G68" i="36"/>
  <c r="G69" i="36"/>
  <c r="G67" i="36"/>
  <c r="H46" i="21"/>
  <c r="E226" i="36"/>
  <c r="G111" i="36"/>
  <c r="Q614" i="11"/>
  <c r="Q616" i="11" s="1"/>
  <c r="G97" i="36"/>
  <c r="G98" i="36" s="1"/>
  <c r="G100" i="36" s="1"/>
  <c r="B28" i="21"/>
  <c r="H28" i="21" s="1"/>
  <c r="B378" i="11"/>
  <c r="B379" i="11" s="1"/>
  <c r="B380" i="11"/>
  <c r="B381" i="11" s="1"/>
  <c r="H14" i="21"/>
  <c r="G99" i="36" l="1"/>
  <c r="G101" i="36" l="1"/>
  <c r="G106" i="36" s="1"/>
  <c r="G107" i="36" s="1"/>
  <c r="G108" i="36" s="1"/>
  <c r="G112" i="36" l="1"/>
  <c r="O71" i="11" l="1"/>
  <c r="O114" i="11"/>
  <c r="Q114" i="11"/>
  <c r="G114" i="11"/>
  <c r="Q71" i="11"/>
  <c r="Q67" i="11"/>
  <c r="O67" i="11"/>
  <c r="G71" i="11"/>
  <c r="G67" i="11"/>
  <c r="G65" i="11"/>
  <c r="C114" i="11"/>
  <c r="F114" i="11" s="1"/>
  <c r="M299" i="11"/>
  <c r="M301" i="11"/>
  <c r="C412" i="22"/>
  <c r="D187" i="36"/>
  <c r="C187" i="36"/>
  <c r="B187" i="36"/>
  <c r="G83" i="36"/>
  <c r="G85" i="36" s="1"/>
  <c r="O17" i="11"/>
  <c r="I114" i="11" l="1"/>
  <c r="G102" i="11" l="1"/>
  <c r="G100" i="11"/>
  <c r="G98" i="11"/>
  <c r="G96" i="11"/>
  <c r="G94" i="11"/>
  <c r="G92" i="11"/>
  <c r="G89" i="11"/>
  <c r="G87" i="11"/>
  <c r="G82" i="11"/>
  <c r="G80" i="11"/>
  <c r="G75" i="11"/>
  <c r="G73" i="11"/>
  <c r="G63" i="11"/>
  <c r="G61" i="11"/>
  <c r="K149" i="11"/>
  <c r="M128" i="11"/>
  <c r="G66" i="6" l="1"/>
  <c r="E40" i="6"/>
  <c r="G40" i="6" s="1"/>
  <c r="B39" i="21"/>
  <c r="K18" i="11"/>
  <c r="C694" i="11" l="1"/>
  <c r="C138" i="39"/>
  <c r="B425" i="22"/>
  <c r="D27" i="21"/>
  <c r="B27" i="21"/>
  <c r="G301" i="11"/>
  <c r="G299" i="11"/>
  <c r="G287" i="11"/>
  <c r="G289" i="11" s="1"/>
  <c r="G278" i="11"/>
  <c r="G276" i="11"/>
  <c r="G279" i="11" s="1"/>
  <c r="Q102" i="11"/>
  <c r="O102" i="11"/>
  <c r="C102" i="11"/>
  <c r="F102" i="11" s="1"/>
  <c r="C101" i="11"/>
  <c r="F101" i="11" s="1"/>
  <c r="Q100" i="11"/>
  <c r="O100" i="11"/>
  <c r="C100" i="11"/>
  <c r="F100" i="11" s="1"/>
  <c r="C99" i="11"/>
  <c r="F99" i="11" s="1"/>
  <c r="P614" i="11"/>
  <c r="P616" i="11" s="1"/>
  <c r="P617" i="11" s="1"/>
  <c r="Q82" i="11"/>
  <c r="O82" i="11"/>
  <c r="C82" i="11"/>
  <c r="F82" i="11" s="1"/>
  <c r="C81" i="11"/>
  <c r="F81" i="11" s="1"/>
  <c r="K21" i="11"/>
  <c r="K20" i="11"/>
  <c r="Q21" i="11"/>
  <c r="O21" i="11"/>
  <c r="C21" i="11"/>
  <c r="F21" i="11" s="1"/>
  <c r="Q20" i="11"/>
  <c r="O20" i="11"/>
  <c r="C20" i="11"/>
  <c r="F20" i="11" s="1"/>
  <c r="F600" i="11"/>
  <c r="F602" i="11" s="1"/>
  <c r="F603" i="11" s="1"/>
  <c r="F604" i="11" s="1"/>
  <c r="F606" i="11" s="1"/>
  <c r="E600" i="11"/>
  <c r="E602" i="11" s="1"/>
  <c r="E603" i="11" s="1"/>
  <c r="E604" i="11" s="1"/>
  <c r="E606" i="11" s="1"/>
  <c r="B41" i="21"/>
  <c r="B40" i="21"/>
  <c r="D41" i="21"/>
  <c r="D40" i="21"/>
  <c r="B47" i="21"/>
  <c r="H27" i="21" l="1"/>
  <c r="P618" i="11"/>
  <c r="P620" i="11" s="1"/>
  <c r="B433" i="22"/>
  <c r="H41" i="21"/>
  <c r="G294" i="11"/>
  <c r="G81" i="11" s="1"/>
  <c r="I81" i="11" s="1"/>
  <c r="G283" i="11"/>
  <c r="G290" i="11"/>
  <c r="K101" i="11"/>
  <c r="K102" i="11" s="1"/>
  <c r="K99" i="11"/>
  <c r="K100" i="11" s="1"/>
  <c r="I100" i="11"/>
  <c r="I102" i="11"/>
  <c r="I82" i="11"/>
  <c r="H40" i="21"/>
  <c r="K39" i="11"/>
  <c r="Q39" i="11"/>
  <c r="O39" i="11"/>
  <c r="C39" i="11"/>
  <c r="F39" i="11" s="1"/>
  <c r="K30" i="11"/>
  <c r="K81" i="11" l="1"/>
  <c r="M102" i="11"/>
  <c r="S102" i="11" s="1"/>
  <c r="M100" i="11"/>
  <c r="S100" i="11" s="1"/>
  <c r="G84" i="36"/>
  <c r="B442" i="22" l="1"/>
  <c r="A4" i="36"/>
  <c r="A4" i="6"/>
  <c r="A4" i="5"/>
  <c r="A4" i="22" s="1"/>
  <c r="E32" i="6"/>
  <c r="C32" i="6"/>
  <c r="E33" i="6"/>
  <c r="C33" i="6"/>
  <c r="K33" i="6" s="1"/>
  <c r="E35" i="6"/>
  <c r="C35" i="6"/>
  <c r="K35" i="6" s="1"/>
  <c r="E36" i="6"/>
  <c r="C36" i="6"/>
  <c r="K36" i="6" s="1"/>
  <c r="E37" i="6"/>
  <c r="C177" i="6"/>
  <c r="C178" i="6" s="1"/>
  <c r="D237" i="6"/>
  <c r="C48" i="6" s="1"/>
  <c r="E48" i="6"/>
  <c r="D230" i="6"/>
  <c r="C49" i="6"/>
  <c r="K49" i="6" s="1"/>
  <c r="E49" i="6"/>
  <c r="E51" i="6"/>
  <c r="G51" i="6"/>
  <c r="E55" i="6"/>
  <c r="K51" i="6"/>
  <c r="E63" i="6"/>
  <c r="C63" i="6"/>
  <c r="E64" i="6"/>
  <c r="G64" i="6" s="1"/>
  <c r="E42" i="6"/>
  <c r="K32" i="6"/>
  <c r="C247" i="22"/>
  <c r="G248" i="22"/>
  <c r="C248" i="22" s="1"/>
  <c r="C246" i="22"/>
  <c r="C251" i="22" s="1"/>
  <c r="C252" i="22" s="1"/>
  <c r="F252" i="22"/>
  <c r="F254" i="22"/>
  <c r="C233" i="22"/>
  <c r="C239" i="22" s="1"/>
  <c r="C243" i="22"/>
  <c r="D289" i="22"/>
  <c r="C230" i="22"/>
  <c r="C281" i="22"/>
  <c r="C282" i="22" s="1"/>
  <c r="C285" i="22" s="1"/>
  <c r="D290" i="22"/>
  <c r="D291" i="22"/>
  <c r="D14" i="22"/>
  <c r="B14" i="22"/>
  <c r="D17" i="22"/>
  <c r="F17" i="22" s="1"/>
  <c r="D18" i="22"/>
  <c r="F18" i="22" s="1"/>
  <c r="D21" i="22"/>
  <c r="F21" i="22" s="1"/>
  <c r="D315" i="22"/>
  <c r="E315" i="22" s="1"/>
  <c r="D325" i="22" s="1"/>
  <c r="E325" i="22" s="1"/>
  <c r="D316" i="22"/>
  <c r="E316" i="22" s="1"/>
  <c r="D326" i="22" s="1"/>
  <c r="E326" i="22" s="1"/>
  <c r="D317" i="22"/>
  <c r="E317" i="22"/>
  <c r="D327" i="22" s="1"/>
  <c r="E327" i="22" s="1"/>
  <c r="D318" i="22"/>
  <c r="E318" i="22" s="1"/>
  <c r="D328" i="22" s="1"/>
  <c r="E328" i="22" s="1"/>
  <c r="D319" i="22"/>
  <c r="E319" i="22" s="1"/>
  <c r="D329" i="22" s="1"/>
  <c r="E329" i="22" s="1"/>
  <c r="D320" i="22"/>
  <c r="E320" i="22" s="1"/>
  <c r="D330" i="22" s="1"/>
  <c r="E330" i="22" s="1"/>
  <c r="E334" i="22"/>
  <c r="E335" i="22"/>
  <c r="E336" i="22"/>
  <c r="E337" i="22"/>
  <c r="F31" i="22"/>
  <c r="B428" i="22"/>
  <c r="B429" i="22"/>
  <c r="B434" i="22"/>
  <c r="F34" i="22"/>
  <c r="F73" i="22" s="1"/>
  <c r="B546" i="22"/>
  <c r="B547" i="22"/>
  <c r="C525" i="22" s="1"/>
  <c r="D525" i="22" s="1"/>
  <c r="B582" i="22"/>
  <c r="B678" i="22"/>
  <c r="D678" i="22" s="1"/>
  <c r="B679" i="22"/>
  <c r="D679" i="22" s="1"/>
  <c r="B680" i="22"/>
  <c r="D680" i="22" s="1"/>
  <c r="B681" i="22"/>
  <c r="D681" i="22" s="1"/>
  <c r="D682" i="22"/>
  <c r="D683" i="22"/>
  <c r="D669" i="22"/>
  <c r="B689" i="22"/>
  <c r="D689" i="22" s="1"/>
  <c r="B690" i="22"/>
  <c r="D690" i="22" s="1"/>
  <c r="B691" i="22"/>
  <c r="D691" i="22" s="1"/>
  <c r="B692" i="22"/>
  <c r="D692" i="22" s="1"/>
  <c r="B693" i="22"/>
  <c r="D693" i="22" s="1"/>
  <c r="B746" i="22"/>
  <c r="D746" i="22" s="1"/>
  <c r="B747" i="22"/>
  <c r="D747" i="22" s="1"/>
  <c r="B748" i="22"/>
  <c r="D748" i="22" s="1"/>
  <c r="B749" i="22"/>
  <c r="D749" i="22" s="1"/>
  <c r="D750" i="22"/>
  <c r="B756" i="22"/>
  <c r="D756" i="22" s="1"/>
  <c r="B757" i="22"/>
  <c r="D757" i="22" s="1"/>
  <c r="B758" i="22"/>
  <c r="D758" i="22" s="1"/>
  <c r="B759" i="22"/>
  <c r="D759" i="22" s="1"/>
  <c r="B760" i="22"/>
  <c r="D760" i="22" s="1"/>
  <c r="B545" i="22"/>
  <c r="C556" i="22" s="1"/>
  <c r="D556" i="22" s="1"/>
  <c r="D358" i="22"/>
  <c r="E358" i="22" s="1"/>
  <c r="D368" i="22" s="1"/>
  <c r="E368" i="22" s="1"/>
  <c r="D359" i="22"/>
  <c r="E359" i="22" s="1"/>
  <c r="D360" i="22"/>
  <c r="E360" i="22" s="1"/>
  <c r="D370" i="22" s="1"/>
  <c r="E370" i="22" s="1"/>
  <c r="D361" i="22"/>
  <c r="E361" i="22" s="1"/>
  <c r="D371" i="22" s="1"/>
  <c r="E371" i="22" s="1"/>
  <c r="D362" i="22"/>
  <c r="E362" i="22" s="1"/>
  <c r="D372" i="22" s="1"/>
  <c r="E372" i="22" s="1"/>
  <c r="D363" i="22"/>
  <c r="E363" i="22" s="1"/>
  <c r="D373" i="22" s="1"/>
  <c r="E373" i="22" s="1"/>
  <c r="E377" i="22"/>
  <c r="E378" i="22"/>
  <c r="E379" i="22"/>
  <c r="E380" i="22"/>
  <c r="F34" i="39"/>
  <c r="E35" i="39" s="1"/>
  <c r="E90" i="39"/>
  <c r="D98" i="39" s="1"/>
  <c r="E98" i="39" s="1"/>
  <c r="E91" i="39"/>
  <c r="D99" i="39" s="1"/>
  <c r="E99" i="39" s="1"/>
  <c r="E92" i="39"/>
  <c r="D100" i="39" s="1"/>
  <c r="E100" i="39" s="1"/>
  <c r="E93" i="39"/>
  <c r="D101" i="39" s="1"/>
  <c r="E101" i="39" s="1"/>
  <c r="E105" i="39"/>
  <c r="E106" i="39"/>
  <c r="E107" i="39"/>
  <c r="E108" i="39"/>
  <c r="B151" i="39"/>
  <c r="B152" i="39"/>
  <c r="B157" i="39"/>
  <c r="F64" i="39"/>
  <c r="D61" i="32"/>
  <c r="F61" i="32"/>
  <c r="D62" i="32"/>
  <c r="F62" i="32"/>
  <c r="B639" i="11"/>
  <c r="B15" i="21"/>
  <c r="F614" i="11"/>
  <c r="F616" i="11" s="1"/>
  <c r="C763" i="11"/>
  <c r="K31" i="11"/>
  <c r="K33" i="11"/>
  <c r="K44" i="11"/>
  <c r="K46" i="11"/>
  <c r="B19" i="21"/>
  <c r="B787" i="11"/>
  <c r="B788" i="11"/>
  <c r="D788" i="11" s="1"/>
  <c r="B798" i="11"/>
  <c r="D798" i="11" s="1"/>
  <c r="B799" i="11"/>
  <c r="D799" i="11" s="1"/>
  <c r="E345" i="11"/>
  <c r="D345" i="11"/>
  <c r="E343" i="11"/>
  <c r="D343" i="11"/>
  <c r="C345" i="11"/>
  <c r="C343" i="11"/>
  <c r="C301" i="11"/>
  <c r="C299" i="11"/>
  <c r="D301" i="11"/>
  <c r="D299" i="11"/>
  <c r="E301" i="11"/>
  <c r="E299" i="11"/>
  <c r="F301" i="11"/>
  <c r="F299" i="11"/>
  <c r="I301" i="11"/>
  <c r="I299" i="11"/>
  <c r="H301" i="11"/>
  <c r="H299" i="11"/>
  <c r="J301" i="11"/>
  <c r="J299" i="11"/>
  <c r="L301" i="11"/>
  <c r="L299" i="11"/>
  <c r="Q301" i="11"/>
  <c r="Q299" i="11"/>
  <c r="K301" i="11"/>
  <c r="K299" i="11"/>
  <c r="N301" i="11"/>
  <c r="N299" i="11"/>
  <c r="O301" i="11"/>
  <c r="O299" i="11"/>
  <c r="P301" i="11"/>
  <c r="P299" i="11"/>
  <c r="R301" i="11"/>
  <c r="R299" i="11"/>
  <c r="A3" i="36"/>
  <c r="A2" i="36"/>
  <c r="A1" i="36"/>
  <c r="O106" i="11"/>
  <c r="Q106" i="11"/>
  <c r="B190" i="11"/>
  <c r="B191" i="11" s="1"/>
  <c r="C106" i="11"/>
  <c r="F106" i="11" s="1"/>
  <c r="B300" i="11"/>
  <c r="B304" i="11"/>
  <c r="T304" i="11" s="1"/>
  <c r="R276" i="11"/>
  <c r="R278" i="11"/>
  <c r="C113" i="11"/>
  <c r="F113" i="11" s="1"/>
  <c r="O13" i="11"/>
  <c r="Q13" i="11"/>
  <c r="B255" i="11"/>
  <c r="B256" i="11" s="1"/>
  <c r="C13" i="11"/>
  <c r="F13" i="11" s="1"/>
  <c r="O14" i="11"/>
  <c r="Q14" i="11"/>
  <c r="C14" i="11"/>
  <c r="F14" i="11" s="1"/>
  <c r="O15" i="11"/>
  <c r="Q15" i="11"/>
  <c r="C15" i="11"/>
  <c r="F15" i="11" s="1"/>
  <c r="O16" i="11"/>
  <c r="Q16" i="11"/>
  <c r="C16" i="11"/>
  <c r="F16" i="11" s="1"/>
  <c r="Q17" i="11"/>
  <c r="C17" i="11"/>
  <c r="F17" i="11" s="1"/>
  <c r="O18" i="11"/>
  <c r="Q18" i="11"/>
  <c r="C18" i="11"/>
  <c r="F18" i="11" s="1"/>
  <c r="O19" i="11"/>
  <c r="Q19" i="11"/>
  <c r="C19" i="11"/>
  <c r="F19" i="11" s="1"/>
  <c r="O24" i="11"/>
  <c r="Q24" i="11"/>
  <c r="K24" i="11"/>
  <c r="G24" i="11"/>
  <c r="C24" i="11"/>
  <c r="F24" i="11" s="1"/>
  <c r="O25" i="11"/>
  <c r="Q25" i="11"/>
  <c r="K25" i="11"/>
  <c r="G25" i="11"/>
  <c r="C25" i="11"/>
  <c r="F25" i="11" s="1"/>
  <c r="O26" i="11"/>
  <c r="Q26" i="11"/>
  <c r="K26" i="11"/>
  <c r="G26" i="11"/>
  <c r="C26" i="11"/>
  <c r="F26" i="11" s="1"/>
  <c r="O27" i="11"/>
  <c r="Q27" i="11"/>
  <c r="K27" i="11"/>
  <c r="G27" i="11"/>
  <c r="C27" i="11"/>
  <c r="F27" i="11" s="1"/>
  <c r="O28" i="11"/>
  <c r="Q28" i="11"/>
  <c r="K28" i="11"/>
  <c r="G28" i="11"/>
  <c r="C28" i="11"/>
  <c r="F28" i="11" s="1"/>
  <c r="O30" i="11"/>
  <c r="Q30" i="11"/>
  <c r="C30" i="11"/>
  <c r="F30" i="11" s="1"/>
  <c r="O31" i="11"/>
  <c r="Q31" i="11"/>
  <c r="G31" i="11"/>
  <c r="C31" i="11"/>
  <c r="F31" i="11" s="1"/>
  <c r="O32" i="11"/>
  <c r="Q32" i="11"/>
  <c r="B242" i="11"/>
  <c r="B243" i="11" s="1"/>
  <c r="C32" i="11"/>
  <c r="F32" i="11" s="1"/>
  <c r="O33" i="11"/>
  <c r="Q33" i="11"/>
  <c r="G33" i="11"/>
  <c r="C33" i="11"/>
  <c r="F33" i="11" s="1"/>
  <c r="O34" i="11"/>
  <c r="Q34" i="11"/>
  <c r="C34" i="11"/>
  <c r="F34" i="11" s="1"/>
  <c r="O38" i="11"/>
  <c r="Q38" i="11"/>
  <c r="K38" i="11"/>
  <c r="G38" i="11"/>
  <c r="C38" i="11"/>
  <c r="F38" i="11" s="1"/>
  <c r="O44" i="11"/>
  <c r="Q44" i="11"/>
  <c r="G44" i="11"/>
  <c r="C44" i="11"/>
  <c r="F44" i="11" s="1"/>
  <c r="O45" i="11"/>
  <c r="Q45" i="11"/>
  <c r="C45" i="11"/>
  <c r="F45" i="11" s="1"/>
  <c r="O46" i="11"/>
  <c r="Q46" i="11"/>
  <c r="G46" i="11"/>
  <c r="C46" i="11"/>
  <c r="F46" i="11" s="1"/>
  <c r="O47" i="11"/>
  <c r="Q47" i="11"/>
  <c r="C47" i="11"/>
  <c r="F47" i="11" s="1"/>
  <c r="O49" i="11"/>
  <c r="Q49" i="11"/>
  <c r="C49" i="11"/>
  <c r="F49" i="11" s="1"/>
  <c r="O50" i="11"/>
  <c r="Q50" i="11"/>
  <c r="C50" i="11"/>
  <c r="F50" i="11" s="1"/>
  <c r="O51" i="11"/>
  <c r="Q51" i="11"/>
  <c r="C51" i="11"/>
  <c r="F51" i="11" s="1"/>
  <c r="O52" i="11"/>
  <c r="Q52" i="11"/>
  <c r="C52" i="11"/>
  <c r="F52" i="11" s="1"/>
  <c r="O53" i="11"/>
  <c r="Q53" i="11"/>
  <c r="C53" i="11"/>
  <c r="F53" i="11" s="1"/>
  <c r="B341" i="11"/>
  <c r="D341" i="11" s="1"/>
  <c r="B342" i="11"/>
  <c r="D342" i="11" s="1"/>
  <c r="B344" i="11"/>
  <c r="D344" i="11" s="1"/>
  <c r="B536" i="11"/>
  <c r="K56" i="11" s="1"/>
  <c r="E326" i="11"/>
  <c r="E320" i="11"/>
  <c r="E322" i="11"/>
  <c r="C56" i="11"/>
  <c r="F56" i="11" s="1"/>
  <c r="B297" i="11"/>
  <c r="M297" i="11" s="1"/>
  <c r="B298" i="11"/>
  <c r="C276" i="11"/>
  <c r="C278" i="11"/>
  <c r="C60" i="11"/>
  <c r="F60" i="11" s="1"/>
  <c r="O61" i="11"/>
  <c r="Q61" i="11"/>
  <c r="C61" i="11"/>
  <c r="F61" i="11" s="1"/>
  <c r="D276" i="11"/>
  <c r="D278" i="11"/>
  <c r="C62" i="11"/>
  <c r="F62" i="11" s="1"/>
  <c r="O63" i="11"/>
  <c r="Q63" i="11"/>
  <c r="C63" i="11"/>
  <c r="F63" i="11" s="1"/>
  <c r="E276" i="11"/>
  <c r="E278" i="11"/>
  <c r="C64" i="11"/>
  <c r="F64" i="11" s="1"/>
  <c r="O65" i="11"/>
  <c r="Q65" i="11"/>
  <c r="C65" i="11"/>
  <c r="F65" i="11" s="1"/>
  <c r="C320" i="11"/>
  <c r="C322" i="11"/>
  <c r="C66" i="11"/>
  <c r="F66" i="11" s="1"/>
  <c r="C67" i="11"/>
  <c r="F67" i="11" s="1"/>
  <c r="I67" i="11" s="1"/>
  <c r="B302" i="11"/>
  <c r="F302" i="11" s="1"/>
  <c r="B303" i="11"/>
  <c r="B641" i="11"/>
  <c r="B642" i="11" s="1"/>
  <c r="B652" i="11" s="1"/>
  <c r="F276" i="11"/>
  <c r="F278" i="11"/>
  <c r="C68" i="11"/>
  <c r="F68" i="11" s="1"/>
  <c r="O69" i="11"/>
  <c r="Q69" i="11"/>
  <c r="G69" i="11"/>
  <c r="C69" i="11"/>
  <c r="F69" i="11" s="1"/>
  <c r="D320" i="11"/>
  <c r="D322" i="11"/>
  <c r="C70" i="11"/>
  <c r="F70" i="11" s="1"/>
  <c r="C71" i="11"/>
  <c r="F71" i="11" s="1"/>
  <c r="I276" i="11"/>
  <c r="I278" i="11"/>
  <c r="C72" i="11"/>
  <c r="F72" i="11" s="1"/>
  <c r="O73" i="11"/>
  <c r="Q73" i="11"/>
  <c r="C73" i="11"/>
  <c r="F73" i="11" s="1"/>
  <c r="H276" i="11"/>
  <c r="H278" i="11"/>
  <c r="C74" i="11"/>
  <c r="F74" i="11" s="1"/>
  <c r="O75" i="11"/>
  <c r="Q75" i="11"/>
  <c r="C75" i="11"/>
  <c r="F75" i="11" s="1"/>
  <c r="J276" i="11"/>
  <c r="J278" i="11"/>
  <c r="C79" i="11"/>
  <c r="F79" i="11" s="1"/>
  <c r="O80" i="11"/>
  <c r="Q80" i="11"/>
  <c r="C80" i="11"/>
  <c r="F80" i="11" s="1"/>
  <c r="L276" i="11"/>
  <c r="L278" i="11"/>
  <c r="Q276" i="11"/>
  <c r="Q278" i="11"/>
  <c r="C86" i="11"/>
  <c r="F86" i="11" s="1"/>
  <c r="O87" i="11"/>
  <c r="Q87" i="11"/>
  <c r="C87" i="11"/>
  <c r="F87" i="11" s="1"/>
  <c r="K276" i="11"/>
  <c r="K278" i="11"/>
  <c r="C88" i="11"/>
  <c r="F88" i="11" s="1"/>
  <c r="O89" i="11"/>
  <c r="Q89" i="11"/>
  <c r="C89" i="11"/>
  <c r="F89" i="11" s="1"/>
  <c r="M276" i="11"/>
  <c r="M278" i="11"/>
  <c r="C91" i="11"/>
  <c r="F91" i="11" s="1"/>
  <c r="O92" i="11"/>
  <c r="Q92" i="11"/>
  <c r="C92" i="11"/>
  <c r="F92" i="11" s="1"/>
  <c r="N276" i="11"/>
  <c r="N278" i="11"/>
  <c r="C93" i="11"/>
  <c r="F93" i="11" s="1"/>
  <c r="O94" i="11"/>
  <c r="Q94" i="11"/>
  <c r="C94" i="11"/>
  <c r="F94" i="11" s="1"/>
  <c r="O276" i="11"/>
  <c r="O278" i="11"/>
  <c r="C95" i="11"/>
  <c r="F95" i="11" s="1"/>
  <c r="O96" i="11"/>
  <c r="Q96" i="11"/>
  <c r="C96" i="11"/>
  <c r="F96" i="11" s="1"/>
  <c r="P276" i="11"/>
  <c r="P278" i="11"/>
  <c r="C97" i="11"/>
  <c r="F97" i="11" s="1"/>
  <c r="O98" i="11"/>
  <c r="Q98" i="11"/>
  <c r="C98" i="11"/>
  <c r="F98" i="11" s="1"/>
  <c r="S276" i="11"/>
  <c r="S278" i="11"/>
  <c r="C110" i="11"/>
  <c r="F110" i="11" s="1"/>
  <c r="C119" i="11"/>
  <c r="F119" i="11" s="1"/>
  <c r="B785" i="11"/>
  <c r="D785" i="11" s="1"/>
  <c r="B786" i="11"/>
  <c r="D786" i="11" s="1"/>
  <c r="C787" i="11"/>
  <c r="D789" i="11"/>
  <c r="B796" i="11"/>
  <c r="D796" i="11" s="1"/>
  <c r="B797" i="11"/>
  <c r="D797" i="11" s="1"/>
  <c r="B800" i="11"/>
  <c r="D800" i="11" s="1"/>
  <c r="O125" i="11"/>
  <c r="Q125" i="11"/>
  <c r="M125" i="11"/>
  <c r="B879" i="11"/>
  <c r="B880" i="11" s="1"/>
  <c r="B883" i="11" s="1"/>
  <c r="B885" i="11" s="1"/>
  <c r="O128" i="11"/>
  <c r="Q128" i="11"/>
  <c r="O129" i="11"/>
  <c r="Q129" i="11"/>
  <c r="M129" i="11"/>
  <c r="O131" i="11"/>
  <c r="Q131" i="11"/>
  <c r="M131" i="11"/>
  <c r="O132" i="11"/>
  <c r="Q132" i="11"/>
  <c r="M132" i="11"/>
  <c r="S133" i="11"/>
  <c r="O134" i="11"/>
  <c r="Q134" i="11"/>
  <c r="M134" i="11"/>
  <c r="S135" i="11"/>
  <c r="O136" i="11"/>
  <c r="Q136" i="11"/>
  <c r="M136" i="11"/>
  <c r="O137" i="11"/>
  <c r="Q137" i="11"/>
  <c r="M137" i="11"/>
  <c r="O139" i="11"/>
  <c r="Q139" i="11"/>
  <c r="M139" i="11"/>
  <c r="O141" i="11"/>
  <c r="Q141" i="11"/>
  <c r="M141" i="11"/>
  <c r="O142" i="11"/>
  <c r="Q142" i="11"/>
  <c r="S143" i="11"/>
  <c r="O144" i="11"/>
  <c r="Q144" i="11"/>
  <c r="M144" i="11"/>
  <c r="O145" i="11"/>
  <c r="Q145" i="11"/>
  <c r="M145" i="11"/>
  <c r="O146" i="11"/>
  <c r="Q146" i="11"/>
  <c r="M146" i="11"/>
  <c r="M149" i="11"/>
  <c r="S149" i="11" s="1"/>
  <c r="S152" i="11"/>
  <c r="S153" i="11"/>
  <c r="S156" i="11"/>
  <c r="O157" i="11"/>
  <c r="Q157" i="11"/>
  <c r="C157" i="11"/>
  <c r="F157" i="11" s="1"/>
  <c r="I157" i="11" s="1"/>
  <c r="M157" i="11" s="1"/>
  <c r="S160" i="11"/>
  <c r="S161" i="11"/>
  <c r="K162" i="11"/>
  <c r="S162" i="11" s="1"/>
  <c r="S163" i="11"/>
  <c r="O165" i="11"/>
  <c r="K165" i="11"/>
  <c r="M165" i="11" s="1"/>
  <c r="O166" i="11"/>
  <c r="M166" i="11"/>
  <c r="B183" i="39"/>
  <c r="D183" i="39" s="1"/>
  <c r="B658" i="11"/>
  <c r="G658" i="11"/>
  <c r="D59" i="32"/>
  <c r="D60" i="32"/>
  <c r="B691" i="11"/>
  <c r="K19" i="11"/>
  <c r="G614" i="11"/>
  <c r="G616" i="11" s="1"/>
  <c r="K49" i="11"/>
  <c r="B631" i="11"/>
  <c r="D631" i="11" s="1"/>
  <c r="E631" i="11"/>
  <c r="G631" i="11" s="1"/>
  <c r="L631" i="11"/>
  <c r="B24" i="21"/>
  <c r="B29" i="21"/>
  <c r="B36" i="21"/>
  <c r="B43" i="21"/>
  <c r="D51" i="32"/>
  <c r="D64" i="32"/>
  <c r="D65" i="32"/>
  <c r="D63" i="32"/>
  <c r="F59" i="32"/>
  <c r="F65" i="32"/>
  <c r="F64" i="32"/>
  <c r="D93" i="39"/>
  <c r="D92" i="39"/>
  <c r="D91" i="39"/>
  <c r="D90" i="39"/>
  <c r="F66" i="32"/>
  <c r="B182" i="39"/>
  <c r="D182" i="39" s="1"/>
  <c r="B172" i="39"/>
  <c r="D172" i="39" s="1"/>
  <c r="B548" i="22"/>
  <c r="B181" i="39"/>
  <c r="D181" i="39" s="1"/>
  <c r="B171" i="39"/>
  <c r="B180" i="39"/>
  <c r="D180" i="39" s="1"/>
  <c r="B170" i="39"/>
  <c r="D170" i="39" s="1"/>
  <c r="B179" i="39"/>
  <c r="D179" i="39" s="1"/>
  <c r="B169" i="39"/>
  <c r="D169" i="39" s="1"/>
  <c r="K166" i="11"/>
  <c r="U287" i="11"/>
  <c r="U289" i="11" s="1"/>
  <c r="U278" i="11"/>
  <c r="U276" i="11"/>
  <c r="T287" i="11"/>
  <c r="T289" i="11" s="1"/>
  <c r="T278" i="11"/>
  <c r="T276" i="11"/>
  <c r="S287" i="11"/>
  <c r="S289" i="11" s="1"/>
  <c r="R287" i="11"/>
  <c r="R289" i="11" s="1"/>
  <c r="Q287" i="11"/>
  <c r="Q289" i="11" s="1"/>
  <c r="O287" i="11"/>
  <c r="O289" i="11" s="1"/>
  <c r="P287" i="11"/>
  <c r="P289" i="11" s="1"/>
  <c r="N287" i="11"/>
  <c r="N289" i="11" s="1"/>
  <c r="M287" i="11"/>
  <c r="M289" i="11" s="1"/>
  <c r="I287" i="11"/>
  <c r="I289" i="11" s="1"/>
  <c r="J287" i="11"/>
  <c r="J289" i="11" s="1"/>
  <c r="K287" i="11"/>
  <c r="K289" i="11" s="1"/>
  <c r="L287" i="11"/>
  <c r="L289" i="11" s="1"/>
  <c r="H287" i="11"/>
  <c r="H289" i="11" s="1"/>
  <c r="D331" i="11"/>
  <c r="D333" i="11" s="1"/>
  <c r="F287" i="11"/>
  <c r="F289" i="11" s="1"/>
  <c r="C331" i="11"/>
  <c r="C333" i="11" s="1"/>
  <c r="T299" i="11"/>
  <c r="E41" i="33"/>
  <c r="E287" i="11"/>
  <c r="E289" i="11" s="1"/>
  <c r="D287" i="11"/>
  <c r="D289" i="11" s="1"/>
  <c r="B201" i="11"/>
  <c r="B202" i="11" s="1"/>
  <c r="B203" i="11" s="1"/>
  <c r="B206" i="11" s="1"/>
  <c r="B195" i="11"/>
  <c r="B194" i="11"/>
  <c r="B228" i="11"/>
  <c r="B229" i="11" s="1"/>
  <c r="B222" i="11"/>
  <c r="B251" i="11"/>
  <c r="B221" i="11"/>
  <c r="B215" i="11"/>
  <c r="B216" i="11" s="1"/>
  <c r="D173" i="39"/>
  <c r="D171" i="39"/>
  <c r="G676" i="22"/>
  <c r="C271" i="22"/>
  <c r="C274" i="22" s="1"/>
  <c r="C266" i="22"/>
  <c r="C264" i="22"/>
  <c r="D270" i="22" s="1"/>
  <c r="E270" i="22" s="1"/>
  <c r="F63" i="32"/>
  <c r="F60" i="32"/>
  <c r="D22" i="21"/>
  <c r="D44" i="21"/>
  <c r="D39" i="21"/>
  <c r="D42" i="21"/>
  <c r="D45" i="21"/>
  <c r="D15" i="21"/>
  <c r="D18" i="21"/>
  <c r="D19" i="21"/>
  <c r="D20" i="21"/>
  <c r="D21" i="21"/>
  <c r="D24" i="21"/>
  <c r="D26" i="21"/>
  <c r="D29" i="21"/>
  <c r="D30" i="21"/>
  <c r="D31" i="21"/>
  <c r="D32" i="21"/>
  <c r="D33" i="21"/>
  <c r="D34" i="21"/>
  <c r="D35" i="21"/>
  <c r="D36" i="21"/>
  <c r="D37" i="21"/>
  <c r="D38" i="21"/>
  <c r="D17" i="21"/>
  <c r="D16" i="21"/>
  <c r="F655" i="11"/>
  <c r="B659" i="11"/>
  <c r="G659" i="11"/>
  <c r="E630" i="11"/>
  <c r="H629" i="11"/>
  <c r="E629" i="11"/>
  <c r="C146" i="11"/>
  <c r="F146" i="11" s="1"/>
  <c r="C145" i="11"/>
  <c r="F145" i="11" s="1"/>
  <c r="C144" i="11"/>
  <c r="F144" i="11" s="1"/>
  <c r="C172" i="6"/>
  <c r="D47" i="21"/>
  <c r="D43" i="21"/>
  <c r="C168" i="6"/>
  <c r="D13" i="21"/>
  <c r="D12" i="21"/>
  <c r="D11" i="21"/>
  <c r="A1" i="21"/>
  <c r="A2" i="21"/>
  <c r="A3" i="21"/>
  <c r="A4" i="21"/>
  <c r="A1" i="6"/>
  <c r="A2" i="6"/>
  <c r="A3" i="6"/>
  <c r="A2" i="5"/>
  <c r="A2" i="22" s="1"/>
  <c r="A3" i="5"/>
  <c r="A3" i="22" s="1"/>
  <c r="C287" i="11"/>
  <c r="C289" i="11" s="1"/>
  <c r="A1" i="5"/>
  <c r="A1" i="22" s="1"/>
  <c r="T301" i="11"/>
  <c r="F691" i="11" l="1"/>
  <c r="D695" i="11" s="1"/>
  <c r="C704" i="11"/>
  <c r="A4" i="39"/>
  <c r="E112" i="39"/>
  <c r="D12" i="39" s="1"/>
  <c r="E94" i="39"/>
  <c r="D174" i="39"/>
  <c r="E102" i="39"/>
  <c r="D184" i="39"/>
  <c r="G32" i="11"/>
  <c r="G40" i="11"/>
  <c r="I40" i="11" s="1"/>
  <c r="M40" i="11" s="1"/>
  <c r="S40" i="11" s="1"/>
  <c r="T303" i="11"/>
  <c r="T296" i="11" s="1"/>
  <c r="O113" i="11" s="1"/>
  <c r="F303" i="11"/>
  <c r="R303" i="11"/>
  <c r="Q303" i="11"/>
  <c r="U298" i="11"/>
  <c r="S298" i="11"/>
  <c r="F298" i="11"/>
  <c r="M298" i="11"/>
  <c r="M296" i="11" s="1"/>
  <c r="C531" i="22"/>
  <c r="D531" i="22" s="1"/>
  <c r="C527" i="22"/>
  <c r="D527" i="22" s="1"/>
  <c r="C524" i="22"/>
  <c r="D524" i="22" s="1"/>
  <c r="E383" i="22"/>
  <c r="F43" i="22" s="1"/>
  <c r="D14" i="39"/>
  <c r="F14" i="22"/>
  <c r="F255" i="22"/>
  <c r="C254" i="22" s="1"/>
  <c r="A4" i="11"/>
  <c r="T279" i="11"/>
  <c r="T283" i="11" s="1"/>
  <c r="H297" i="11"/>
  <c r="G297" i="11"/>
  <c r="G300" i="11"/>
  <c r="N298" i="11"/>
  <c r="G298" i="11"/>
  <c r="A1" i="11"/>
  <c r="K29" i="11"/>
  <c r="I31" i="11"/>
  <c r="M31" i="11" s="1"/>
  <c r="S31" i="11" s="1"/>
  <c r="O279" i="11"/>
  <c r="O294" i="11" s="1"/>
  <c r="G39" i="11"/>
  <c r="I39" i="11" s="1"/>
  <c r="M39" i="11" s="1"/>
  <c r="S39" i="11" s="1"/>
  <c r="G20" i="11"/>
  <c r="I20" i="11" s="1"/>
  <c r="M20" i="11" s="1"/>
  <c r="S20" i="11" s="1"/>
  <c r="G21" i="11"/>
  <c r="I21" i="11" s="1"/>
  <c r="M21" i="11" s="1"/>
  <c r="S21" i="11" s="1"/>
  <c r="G33" i="6"/>
  <c r="E279" i="11"/>
  <c r="E294" i="11" s="1"/>
  <c r="G64" i="11" s="1"/>
  <c r="I64" i="11" s="1"/>
  <c r="B632" i="11"/>
  <c r="D632" i="11" s="1"/>
  <c r="G36" i="6"/>
  <c r="G63" i="6"/>
  <c r="C37" i="6"/>
  <c r="K37" i="6" s="1"/>
  <c r="C42" i="6" s="1"/>
  <c r="G42" i="6" s="1"/>
  <c r="I65" i="11"/>
  <c r="I73" i="11"/>
  <c r="I80" i="11"/>
  <c r="I24" i="11"/>
  <c r="M24" i="11" s="1"/>
  <c r="S24" i="11" s="1"/>
  <c r="K14" i="11"/>
  <c r="H634" i="11"/>
  <c r="L634" i="11" s="1"/>
  <c r="H29" i="21"/>
  <c r="H19" i="21"/>
  <c r="H24" i="21"/>
  <c r="H15" i="21"/>
  <c r="H36" i="21"/>
  <c r="H47" i="21"/>
  <c r="C344" i="11"/>
  <c r="S165" i="11"/>
  <c r="I89" i="11"/>
  <c r="D787" i="11"/>
  <c r="D790" i="11" s="1"/>
  <c r="D791" i="11" s="1"/>
  <c r="C342" i="11"/>
  <c r="S146" i="11"/>
  <c r="I71" i="11"/>
  <c r="I279" i="11"/>
  <c r="I283" i="11" s="1"/>
  <c r="I98" i="11"/>
  <c r="I87" i="11"/>
  <c r="I33" i="11"/>
  <c r="M33" i="11" s="1"/>
  <c r="S33" i="11" s="1"/>
  <c r="I28" i="11"/>
  <c r="M28" i="11" s="1"/>
  <c r="S28" i="11" s="1"/>
  <c r="S139" i="11"/>
  <c r="S132" i="11"/>
  <c r="I61" i="11"/>
  <c r="N297" i="11"/>
  <c r="S136" i="11"/>
  <c r="K48" i="6"/>
  <c r="C55" i="6" s="1"/>
  <c r="G55" i="6" s="1"/>
  <c r="G48" i="6"/>
  <c r="G35" i="6"/>
  <c r="G32" i="6"/>
  <c r="S137" i="11"/>
  <c r="S131" i="11"/>
  <c r="M279" i="11"/>
  <c r="M290" i="11" s="1"/>
  <c r="C323" i="11"/>
  <c r="C327" i="11" s="1"/>
  <c r="F279" i="11"/>
  <c r="P279" i="11"/>
  <c r="P290" i="11" s="1"/>
  <c r="D323" i="11"/>
  <c r="D338" i="11" s="1"/>
  <c r="G70" i="11" s="1"/>
  <c r="I70" i="11" s="1"/>
  <c r="R279" i="11"/>
  <c r="R283" i="11" s="1"/>
  <c r="D279" i="11"/>
  <c r="D290" i="11" s="1"/>
  <c r="B205" i="11"/>
  <c r="I69" i="11"/>
  <c r="I25" i="11"/>
  <c r="M25" i="11" s="1"/>
  <c r="S25" i="11" s="1"/>
  <c r="U279" i="11"/>
  <c r="U294" i="11" s="1"/>
  <c r="I38" i="11"/>
  <c r="M38" i="11" s="1"/>
  <c r="S38" i="11" s="1"/>
  <c r="N279" i="11"/>
  <c r="N283" i="11" s="1"/>
  <c r="L279" i="11"/>
  <c r="L283" i="11" s="1"/>
  <c r="H279" i="11"/>
  <c r="H290" i="11" s="1"/>
  <c r="Q302" i="11"/>
  <c r="I44" i="11"/>
  <c r="M44" i="11" s="1"/>
  <c r="S44" i="11" s="1"/>
  <c r="B230" i="11"/>
  <c r="B233" i="11" s="1"/>
  <c r="B232" i="11"/>
  <c r="C665" i="11"/>
  <c r="S144" i="11"/>
  <c r="S125" i="11"/>
  <c r="S279" i="11"/>
  <c r="S290" i="11" s="1"/>
  <c r="I96" i="11"/>
  <c r="Q279" i="11"/>
  <c r="Q294" i="11" s="1"/>
  <c r="I297" i="11"/>
  <c r="C297" i="11"/>
  <c r="S166" i="11"/>
  <c r="S297" i="11"/>
  <c r="R304" i="11"/>
  <c r="S129" i="11"/>
  <c r="E323" i="11"/>
  <c r="E327" i="11" s="1"/>
  <c r="I27" i="11"/>
  <c r="M27" i="11" s="1"/>
  <c r="S27" i="11" s="1"/>
  <c r="B224" i="11"/>
  <c r="S134" i="11"/>
  <c r="S128" i="11"/>
  <c r="I92" i="11"/>
  <c r="D801" i="11"/>
  <c r="J279" i="11"/>
  <c r="J283" i="11" s="1"/>
  <c r="D297" i="11"/>
  <c r="S141" i="11"/>
  <c r="E344" i="11"/>
  <c r="K279" i="11"/>
  <c r="K290" i="11" s="1"/>
  <c r="I46" i="11"/>
  <c r="M46" i="11" s="1"/>
  <c r="S46" i="11" s="1"/>
  <c r="E342" i="11"/>
  <c r="F300" i="11"/>
  <c r="I63" i="11"/>
  <c r="B197" i="11"/>
  <c r="S145" i="11"/>
  <c r="U297" i="11"/>
  <c r="K297" i="11"/>
  <c r="L297" i="11"/>
  <c r="F297" i="11"/>
  <c r="C279" i="11"/>
  <c r="C290" i="11" s="1"/>
  <c r="G50" i="11"/>
  <c r="I50" i="11" s="1"/>
  <c r="S157" i="11"/>
  <c r="G30" i="11"/>
  <c r="I30" i="11" s="1"/>
  <c r="G106" i="11"/>
  <c r="I106" i="11" s="1"/>
  <c r="I75" i="11"/>
  <c r="B257" i="11"/>
  <c r="B260" i="11" s="1"/>
  <c r="G17" i="11" s="1"/>
  <c r="I17" i="11" s="1"/>
  <c r="B259" i="11"/>
  <c r="I94" i="11"/>
  <c r="I26" i="11"/>
  <c r="M26" i="11" s="1"/>
  <c r="S26" i="11" s="1"/>
  <c r="K71" i="11"/>
  <c r="K70" i="11"/>
  <c r="B654" i="11"/>
  <c r="D340" i="11"/>
  <c r="O70" i="11" s="1"/>
  <c r="D298" i="11"/>
  <c r="G53" i="11"/>
  <c r="I53" i="11" s="1"/>
  <c r="G45" i="11"/>
  <c r="I45" i="11" s="1"/>
  <c r="I298" i="11"/>
  <c r="G47" i="11"/>
  <c r="I47" i="11" s="1"/>
  <c r="C298" i="11"/>
  <c r="I32" i="11"/>
  <c r="E331" i="11"/>
  <c r="E333" i="11" s="1"/>
  <c r="K298" i="11"/>
  <c r="G34" i="11"/>
  <c r="I34" i="11" s="1"/>
  <c r="L298" i="11"/>
  <c r="G52" i="11"/>
  <c r="I52" i="11" s="1"/>
  <c r="P298" i="11"/>
  <c r="P297" i="11"/>
  <c r="P296" i="11" s="1"/>
  <c r="J298" i="11"/>
  <c r="C341" i="11"/>
  <c r="E341" i="11"/>
  <c r="O298" i="11"/>
  <c r="J297" i="11"/>
  <c r="G49" i="11"/>
  <c r="I49" i="11" s="1"/>
  <c r="M49" i="11" s="1"/>
  <c r="S49" i="11" s="1"/>
  <c r="O297" i="11"/>
  <c r="E298" i="11"/>
  <c r="B640" i="11"/>
  <c r="B645" i="11" s="1"/>
  <c r="B646" i="11" s="1"/>
  <c r="K68" i="11" s="1"/>
  <c r="H298" i="11"/>
  <c r="E297" i="11"/>
  <c r="G51" i="11"/>
  <c r="I51" i="11" s="1"/>
  <c r="A1" i="39"/>
  <c r="A2" i="11"/>
  <c r="B133" i="39"/>
  <c r="G133" i="39" s="1"/>
  <c r="H39" i="21"/>
  <c r="K47" i="11"/>
  <c r="B22" i="21"/>
  <c r="H22" i="21" s="1"/>
  <c r="H31" i="21"/>
  <c r="H30" i="21"/>
  <c r="H43" i="21"/>
  <c r="O614" i="11"/>
  <c r="O616" i="11" s="1"/>
  <c r="B427" i="22"/>
  <c r="B430" i="22" s="1"/>
  <c r="H632" i="11"/>
  <c r="L632" i="11" s="1"/>
  <c r="B42" i="21"/>
  <c r="H42" i="21" s="1"/>
  <c r="K52" i="11"/>
  <c r="C600" i="11"/>
  <c r="C602" i="11" s="1"/>
  <c r="C603" i="11" s="1"/>
  <c r="C604" i="11" s="1"/>
  <c r="C606" i="11" s="1"/>
  <c r="E634" i="11"/>
  <c r="G634" i="11" s="1"/>
  <c r="K15" i="11"/>
  <c r="I614" i="11"/>
  <c r="I616" i="11" s="1"/>
  <c r="H617" i="11" s="1"/>
  <c r="H618" i="11" s="1"/>
  <c r="H620" i="11" s="1"/>
  <c r="B26" i="21"/>
  <c r="H26" i="21" s="1"/>
  <c r="D600" i="11"/>
  <c r="D602" i="11" s="1"/>
  <c r="D603" i="11" s="1"/>
  <c r="D604" i="11" s="1"/>
  <c r="K93" i="11" s="1"/>
  <c r="K17" i="11"/>
  <c r="K50" i="11"/>
  <c r="B38" i="21"/>
  <c r="H38" i="21" s="1"/>
  <c r="B34" i="21"/>
  <c r="H34" i="21" s="1"/>
  <c r="K614" i="11"/>
  <c r="K616" i="11" s="1"/>
  <c r="E632" i="11"/>
  <c r="G632" i="11" s="1"/>
  <c r="M614" i="11"/>
  <c r="M616" i="11" s="1"/>
  <c r="B32" i="21"/>
  <c r="H32" i="21" s="1"/>
  <c r="K34" i="11"/>
  <c r="B21" i="21"/>
  <c r="H21" i="21" s="1"/>
  <c r="N614" i="11"/>
  <c r="N616" i="11" s="1"/>
  <c r="K109" i="11"/>
  <c r="B44" i="21"/>
  <c r="H44" i="21" s="1"/>
  <c r="B634" i="11"/>
  <c r="D634" i="11" s="1"/>
  <c r="B37" i="21"/>
  <c r="H37" i="21" s="1"/>
  <c r="K16" i="11"/>
  <c r="C614" i="11"/>
  <c r="K32" i="11"/>
  <c r="J614" i="11"/>
  <c r="J616" i="11" s="1"/>
  <c r="B408" i="22"/>
  <c r="K53" i="11"/>
  <c r="B134" i="39"/>
  <c r="G134" i="39" s="1"/>
  <c r="B18" i="21"/>
  <c r="H18" i="21" s="1"/>
  <c r="F617" i="11"/>
  <c r="F618" i="11" s="1"/>
  <c r="F620" i="11" s="1"/>
  <c r="C706" i="11"/>
  <c r="C707" i="11" s="1"/>
  <c r="D699" i="11"/>
  <c r="D698" i="11"/>
  <c r="D697" i="11"/>
  <c r="D696" i="11"/>
  <c r="D700" i="11"/>
  <c r="L630" i="11"/>
  <c r="C528" i="22"/>
  <c r="D528" i="22" s="1"/>
  <c r="E340" i="22"/>
  <c r="F29" i="22" s="1"/>
  <c r="C557" i="22"/>
  <c r="D557" i="22" s="1"/>
  <c r="D21" i="39" s="1"/>
  <c r="F47" i="22"/>
  <c r="C532" i="22"/>
  <c r="D532" i="22" s="1"/>
  <c r="B443" i="22"/>
  <c r="B444" i="22" s="1"/>
  <c r="B447" i="22" s="1"/>
  <c r="B448" i="22" s="1"/>
  <c r="D684" i="22"/>
  <c r="D685" i="22" s="1"/>
  <c r="C250" i="22"/>
  <c r="C253" i="22" s="1"/>
  <c r="E331" i="22"/>
  <c r="D694" i="22"/>
  <c r="D761" i="22"/>
  <c r="C286" i="22"/>
  <c r="D369" i="22"/>
  <c r="E369" i="22" s="1"/>
  <c r="E374" i="22" s="1"/>
  <c r="E364" i="22"/>
  <c r="D751" i="22"/>
  <c r="D18" i="39"/>
  <c r="F52" i="22"/>
  <c r="F78" i="22"/>
  <c r="F39" i="22"/>
  <c r="F65" i="22"/>
  <c r="C526" i="22"/>
  <c r="D526" i="22" s="1"/>
  <c r="F86" i="22"/>
  <c r="F60" i="22"/>
  <c r="C540" i="22"/>
  <c r="D540" i="22" s="1"/>
  <c r="C535" i="22"/>
  <c r="D535" i="22" s="1"/>
  <c r="A3" i="11"/>
  <c r="A3" i="39"/>
  <c r="A2" i="39"/>
  <c r="E144" i="39" l="1"/>
  <c r="I133" i="39"/>
  <c r="D144" i="39"/>
  <c r="I134" i="39"/>
  <c r="F188" i="39"/>
  <c r="D11" i="39"/>
  <c r="F117" i="39"/>
  <c r="F56" i="22"/>
  <c r="F82" i="22"/>
  <c r="F69" i="22"/>
  <c r="C296" i="11"/>
  <c r="O60" i="11" s="1"/>
  <c r="Q296" i="11"/>
  <c r="N617" i="11"/>
  <c r="N618" i="11" s="1"/>
  <c r="K74" i="11" s="1"/>
  <c r="L296" i="11"/>
  <c r="O86" i="11" s="1"/>
  <c r="F296" i="11"/>
  <c r="O68" i="11" s="1"/>
  <c r="K296" i="11"/>
  <c r="O88" i="11" s="1"/>
  <c r="E296" i="11"/>
  <c r="O64" i="11" s="1"/>
  <c r="R296" i="11"/>
  <c r="D296" i="11"/>
  <c r="O62" i="11" s="1"/>
  <c r="O296" i="11"/>
  <c r="I296" i="11"/>
  <c r="O72" i="11" s="1"/>
  <c r="J296" i="11"/>
  <c r="O79" i="11" s="1"/>
  <c r="K142" i="11"/>
  <c r="K150" i="11" s="1"/>
  <c r="M150" i="11" s="1"/>
  <c r="S150" i="11" s="1"/>
  <c r="H633" i="11"/>
  <c r="L633" i="11" s="1"/>
  <c r="L635" i="11" s="1"/>
  <c r="F645" i="11" s="1"/>
  <c r="F646" i="11" s="1"/>
  <c r="K65" i="11" s="1"/>
  <c r="M65" i="11" s="1"/>
  <c r="S65" i="11" s="1"/>
  <c r="G296" i="11"/>
  <c r="N296" i="11"/>
  <c r="O93" i="11" s="1"/>
  <c r="H296" i="11"/>
  <c r="O74" i="11" s="1"/>
  <c r="O283" i="11"/>
  <c r="K114" i="11"/>
  <c r="M114" i="11" s="1"/>
  <c r="K110" i="11"/>
  <c r="K113" i="11" s="1"/>
  <c r="F294" i="11"/>
  <c r="G68" i="11" s="1"/>
  <c r="I68" i="11" s="1"/>
  <c r="M68" i="11" s="1"/>
  <c r="S296" i="11"/>
  <c r="O110" i="11" s="1"/>
  <c r="F91" i="22"/>
  <c r="C255" i="22"/>
  <c r="F550" i="22"/>
  <c r="F87" i="22" s="1"/>
  <c r="B436" i="22"/>
  <c r="B159" i="39"/>
  <c r="T294" i="11"/>
  <c r="G113" i="11" s="1"/>
  <c r="I113" i="11" s="1"/>
  <c r="T290" i="11"/>
  <c r="G408" i="22"/>
  <c r="D413" i="22" s="1"/>
  <c r="C413" i="22" s="1"/>
  <c r="G31" i="6"/>
  <c r="O290" i="11"/>
  <c r="E283" i="11"/>
  <c r="G95" i="11"/>
  <c r="I95" i="11" s="1"/>
  <c r="C616" i="11"/>
  <c r="C617" i="11" s="1"/>
  <c r="C618" i="11" s="1"/>
  <c r="C620" i="11" s="1"/>
  <c r="K82" i="11"/>
  <c r="M82" i="11" s="1"/>
  <c r="S82" i="11" s="1"/>
  <c r="E290" i="11"/>
  <c r="M71" i="11"/>
  <c r="S71" i="11" s="1"/>
  <c r="G37" i="6"/>
  <c r="G34" i="6" s="1"/>
  <c r="U296" i="11"/>
  <c r="O119" i="11" s="1"/>
  <c r="M32" i="11"/>
  <c r="S32" i="11" s="1"/>
  <c r="C334" i="11"/>
  <c r="E334" i="11"/>
  <c r="C340" i="11"/>
  <c r="O66" i="11" s="1"/>
  <c r="M283" i="11"/>
  <c r="H294" i="11"/>
  <c r="G74" i="11" s="1"/>
  <c r="I74" i="11" s="1"/>
  <c r="C338" i="11"/>
  <c r="G66" i="11" s="1"/>
  <c r="I66" i="11" s="1"/>
  <c r="M294" i="11"/>
  <c r="G91" i="11" s="1"/>
  <c r="I91" i="11" s="1"/>
  <c r="I290" i="11"/>
  <c r="H283" i="11"/>
  <c r="E338" i="11"/>
  <c r="G56" i="11" s="1"/>
  <c r="I56" i="11" s="1"/>
  <c r="M56" i="11" s="1"/>
  <c r="P283" i="11"/>
  <c r="M34" i="11"/>
  <c r="S34" i="11" s="1"/>
  <c r="L294" i="11"/>
  <c r="I294" i="11"/>
  <c r="G72" i="11" s="1"/>
  <c r="I72" i="11" s="1"/>
  <c r="L290" i="11"/>
  <c r="S283" i="11"/>
  <c r="D283" i="11"/>
  <c r="D294" i="11"/>
  <c r="G62" i="11" s="1"/>
  <c r="I62" i="11" s="1"/>
  <c r="U290" i="11"/>
  <c r="N294" i="11"/>
  <c r="G93" i="11" s="1"/>
  <c r="I93" i="11" s="1"/>
  <c r="M93" i="11" s="1"/>
  <c r="C283" i="11"/>
  <c r="N290" i="11"/>
  <c r="C294" i="11"/>
  <c r="G60" i="11" s="1"/>
  <c r="I60" i="11" s="1"/>
  <c r="U283" i="11"/>
  <c r="M53" i="11"/>
  <c r="S53" i="11" s="1"/>
  <c r="Q283" i="11"/>
  <c r="B821" i="11"/>
  <c r="F835" i="11" s="1"/>
  <c r="B407" i="22"/>
  <c r="B648" i="11"/>
  <c r="K69" i="11"/>
  <c r="M69" i="11" s="1"/>
  <c r="S69" i="11" s="1"/>
  <c r="J290" i="11"/>
  <c r="R294" i="11"/>
  <c r="F283" i="11"/>
  <c r="F290" i="11"/>
  <c r="J294" i="11"/>
  <c r="R290" i="11"/>
  <c r="D334" i="11"/>
  <c r="P294" i="11"/>
  <c r="D327" i="11"/>
  <c r="M70" i="11"/>
  <c r="S70" i="11" s="1"/>
  <c r="Q290" i="11"/>
  <c r="S294" i="11"/>
  <c r="G110" i="11" s="1"/>
  <c r="I110" i="11" s="1"/>
  <c r="K283" i="11"/>
  <c r="M52" i="11"/>
  <c r="S52" i="11" s="1"/>
  <c r="E340" i="11"/>
  <c r="O56" i="11" s="1"/>
  <c r="K294" i="11"/>
  <c r="G88" i="11" s="1"/>
  <c r="I88" i="11" s="1"/>
  <c r="M50" i="11"/>
  <c r="S50" i="11" s="1"/>
  <c r="G19" i="11"/>
  <c r="I19" i="11" s="1"/>
  <c r="M19" i="11" s="1"/>
  <c r="S19" i="11" s="1"/>
  <c r="M17" i="11"/>
  <c r="S17" i="11" s="1"/>
  <c r="G15" i="11"/>
  <c r="I15" i="11" s="1"/>
  <c r="M15" i="11" s="1"/>
  <c r="S15" i="11" s="1"/>
  <c r="G13" i="11"/>
  <c r="I13" i="11" s="1"/>
  <c r="G18" i="11"/>
  <c r="I18" i="11" s="1"/>
  <c r="M18" i="11" s="1"/>
  <c r="S18" i="11" s="1"/>
  <c r="G16" i="11"/>
  <c r="I16" i="11" s="1"/>
  <c r="M16" i="11" s="1"/>
  <c r="S16" i="11" s="1"/>
  <c r="G14" i="11"/>
  <c r="I14" i="11" s="1"/>
  <c r="M14" i="11" s="1"/>
  <c r="S14" i="11" s="1"/>
  <c r="M30" i="11"/>
  <c r="S30" i="11" s="1"/>
  <c r="O91" i="11"/>
  <c r="M47" i="11"/>
  <c r="S47" i="11" s="1"/>
  <c r="K111" i="11"/>
  <c r="B690" i="11"/>
  <c r="B35" i="21"/>
  <c r="H35" i="21" s="1"/>
  <c r="E140" i="39"/>
  <c r="E141" i="39"/>
  <c r="E142" i="39"/>
  <c r="E139" i="39"/>
  <c r="D27" i="39" s="1"/>
  <c r="E143" i="39"/>
  <c r="K97" i="11"/>
  <c r="C709" i="11"/>
  <c r="B20" i="21"/>
  <c r="H20" i="21" s="1"/>
  <c r="B635" i="11"/>
  <c r="D141" i="39"/>
  <c r="D140" i="39"/>
  <c r="D139" i="39"/>
  <c r="B148" i="39" s="1"/>
  <c r="G635" i="11"/>
  <c r="E645" i="11" s="1"/>
  <c r="E646" i="11" s="1"/>
  <c r="E648" i="11" s="1"/>
  <c r="D635" i="11"/>
  <c r="D645" i="11" s="1"/>
  <c r="D646" i="11" s="1"/>
  <c r="K60" i="11" s="1"/>
  <c r="J617" i="11"/>
  <c r="J618" i="11" s="1"/>
  <c r="K88" i="11" s="1"/>
  <c r="K79" i="11"/>
  <c r="B435" i="22"/>
  <c r="B13" i="21"/>
  <c r="H13" i="21" s="1"/>
  <c r="F641" i="11"/>
  <c r="K72" i="11"/>
  <c r="K73" i="11" s="1"/>
  <c r="M73" i="11" s="1"/>
  <c r="S73" i="11" s="1"/>
  <c r="B11" i="21"/>
  <c r="D641" i="11"/>
  <c r="B33" i="21"/>
  <c r="H33" i="21" s="1"/>
  <c r="K45" i="11"/>
  <c r="M45" i="11" s="1"/>
  <c r="S45" i="11" s="1"/>
  <c r="L614" i="11"/>
  <c r="L616" i="11" s="1"/>
  <c r="L617" i="11" s="1"/>
  <c r="L618" i="11" s="1"/>
  <c r="D143" i="39"/>
  <c r="D606" i="11"/>
  <c r="B12" i="21"/>
  <c r="H12" i="21" s="1"/>
  <c r="E641" i="11"/>
  <c r="E635" i="11"/>
  <c r="D142" i="39"/>
  <c r="B16" i="21"/>
  <c r="I16" i="21" s="1"/>
  <c r="D25" i="39" s="1"/>
  <c r="K106" i="11"/>
  <c r="M106" i="11" s="1"/>
  <c r="S106" i="11" s="1"/>
  <c r="D23" i="39" s="1"/>
  <c r="D701" i="11"/>
  <c r="C695" i="11"/>
  <c r="C696" i="11" s="1"/>
  <c r="C697" i="11" s="1"/>
  <c r="C698" i="11" s="1"/>
  <c r="C699" i="11" s="1"/>
  <c r="C700" i="11" s="1"/>
  <c r="K94" i="11"/>
  <c r="M94" i="11" s="1"/>
  <c r="S94" i="11" s="1"/>
  <c r="D698" i="22"/>
  <c r="F76" i="22" s="1"/>
  <c r="F68" i="22"/>
  <c r="F42" i="22"/>
  <c r="F55" i="22"/>
  <c r="F81" i="22"/>
  <c r="F385" i="22"/>
  <c r="D17" i="39"/>
  <c r="F50" i="22"/>
  <c r="F28" i="22"/>
  <c r="F342" i="22"/>
  <c r="E291" i="22"/>
  <c r="F291" i="22" s="1"/>
  <c r="E290" i="22"/>
  <c r="F290" i="22" s="1"/>
  <c r="E289" i="22"/>
  <c r="D765" i="22"/>
  <c r="F48" i="22"/>
  <c r="D15" i="39"/>
  <c r="F74" i="22"/>
  <c r="F61" i="22"/>
  <c r="F690" i="11" l="1"/>
  <c r="E695" i="11" s="1"/>
  <c r="B17" i="21" s="1"/>
  <c r="I17" i="21" s="1"/>
  <c r="D28" i="39" s="1"/>
  <c r="D55" i="39"/>
  <c r="E55" i="39" s="1"/>
  <c r="F55" i="39" s="1"/>
  <c r="D37" i="39"/>
  <c r="E37" i="39" s="1"/>
  <c r="F37" i="39" s="1"/>
  <c r="F89" i="22"/>
  <c r="F63" i="22"/>
  <c r="F35" i="22"/>
  <c r="F37" i="22"/>
  <c r="B437" i="22"/>
  <c r="F451" i="22" s="1"/>
  <c r="F32" i="22" s="1"/>
  <c r="M142" i="11"/>
  <c r="S142" i="11" s="1"/>
  <c r="S56" i="11"/>
  <c r="M110" i="11"/>
  <c r="C764" i="11" s="1"/>
  <c r="C765" i="11" s="1"/>
  <c r="H635" i="11"/>
  <c r="J633" i="11"/>
  <c r="J635" i="11" s="1"/>
  <c r="F642" i="11"/>
  <c r="F652" i="11" s="1"/>
  <c r="K66" i="11" s="1"/>
  <c r="M66" i="11" s="1"/>
  <c r="S66" i="11" s="1"/>
  <c r="M113" i="11"/>
  <c r="R113" i="11" s="1"/>
  <c r="D42" i="39"/>
  <c r="E42" i="39" s="1"/>
  <c r="F42" i="39" s="1"/>
  <c r="D38" i="39"/>
  <c r="E38" i="39" s="1"/>
  <c r="F38" i="39" s="1"/>
  <c r="G101" i="11"/>
  <c r="I101" i="11" s="1"/>
  <c r="M101" i="11" s="1"/>
  <c r="G99" i="11"/>
  <c r="I99" i="11" s="1"/>
  <c r="M99" i="11" s="1"/>
  <c r="G97" i="11"/>
  <c r="I97" i="11" s="1"/>
  <c r="M97" i="11" s="1"/>
  <c r="D418" i="22"/>
  <c r="D417" i="22"/>
  <c r="D414" i="22"/>
  <c r="C414" i="22" s="1"/>
  <c r="D415" i="22"/>
  <c r="G407" i="22"/>
  <c r="E413" i="22" s="1"/>
  <c r="D416" i="22"/>
  <c r="K59" i="11"/>
  <c r="O95" i="11"/>
  <c r="O99" i="11"/>
  <c r="O97" i="11"/>
  <c r="O101" i="11"/>
  <c r="R614" i="11"/>
  <c r="K91" i="11"/>
  <c r="K92" i="11" s="1"/>
  <c r="M92" i="11" s="1"/>
  <c r="S92" i="11" s="1"/>
  <c r="R618" i="11"/>
  <c r="G79" i="11"/>
  <c r="I79" i="11" s="1"/>
  <c r="M79" i="11" s="1"/>
  <c r="M81" i="11"/>
  <c r="O81" i="11"/>
  <c r="C11" i="23"/>
  <c r="M74" i="11"/>
  <c r="S74" i="11" s="1"/>
  <c r="G119" i="11"/>
  <c r="I119" i="11" s="1"/>
  <c r="G86" i="11"/>
  <c r="I86" i="11" s="1"/>
  <c r="S93" i="11"/>
  <c r="S85" i="11"/>
  <c r="S68" i="11"/>
  <c r="M60" i="11"/>
  <c r="S60" i="11" s="1"/>
  <c r="H11" i="21"/>
  <c r="G835" i="11"/>
  <c r="F834" i="11"/>
  <c r="G830" i="11"/>
  <c r="G836" i="11"/>
  <c r="F836" i="11"/>
  <c r="G834" i="11"/>
  <c r="F830" i="11"/>
  <c r="K75" i="11"/>
  <c r="M75" i="11" s="1"/>
  <c r="S75" i="11" s="1"/>
  <c r="E145" i="39"/>
  <c r="N620" i="11"/>
  <c r="K98" i="11"/>
  <c r="M98" i="11" s="1"/>
  <c r="S98" i="11" s="1"/>
  <c r="K63" i="11"/>
  <c r="M63" i="11" s="1"/>
  <c r="S63" i="11" s="1"/>
  <c r="M72" i="11"/>
  <c r="S72" i="11" s="1"/>
  <c r="K62" i="11"/>
  <c r="M62" i="11" s="1"/>
  <c r="S62" i="11" s="1"/>
  <c r="K64" i="11"/>
  <c r="M64" i="11" s="1"/>
  <c r="S64" i="11" s="1"/>
  <c r="F648" i="11"/>
  <c r="D145" i="39"/>
  <c r="C139" i="39"/>
  <c r="C140" i="39" s="1"/>
  <c r="C141" i="39" s="1"/>
  <c r="C142" i="39" s="1"/>
  <c r="C143" i="39" s="1"/>
  <c r="C144" i="39" s="1"/>
  <c r="B156" i="39"/>
  <c r="B158" i="39" s="1"/>
  <c r="B160" i="39" s="1"/>
  <c r="K80" i="11"/>
  <c r="M80" i="11" s="1"/>
  <c r="S80" i="11" s="1"/>
  <c r="J620" i="11"/>
  <c r="K61" i="11"/>
  <c r="M61" i="11" s="1"/>
  <c r="S61" i="11" s="1"/>
  <c r="D648" i="11"/>
  <c r="L620" i="11"/>
  <c r="K86" i="11"/>
  <c r="G646" i="11"/>
  <c r="G641" i="11"/>
  <c r="B45" i="21"/>
  <c r="H45" i="21" s="1"/>
  <c r="B600" i="11"/>
  <c r="G600" i="11" s="1"/>
  <c r="K13" i="11"/>
  <c r="M13" i="11" s="1"/>
  <c r="S13" i="11" s="1"/>
  <c r="K51" i="11"/>
  <c r="M51" i="11" s="1"/>
  <c r="S51" i="11" s="1"/>
  <c r="M88" i="11"/>
  <c r="S88" i="11" s="1"/>
  <c r="K89" i="11"/>
  <c r="M89" i="11" s="1"/>
  <c r="S89" i="11" s="1"/>
  <c r="D22" i="39"/>
  <c r="B150" i="39"/>
  <c r="B153" i="39" s="1"/>
  <c r="D58" i="39"/>
  <c r="D52" i="39"/>
  <c r="E52" i="39" s="1"/>
  <c r="F52" i="39" s="1"/>
  <c r="D41" i="39"/>
  <c r="E41" i="39" s="1"/>
  <c r="F41" i="39" s="1"/>
  <c r="D56" i="39"/>
  <c r="E56" i="39" s="1"/>
  <c r="D61" i="39"/>
  <c r="E61" i="39" s="1"/>
  <c r="F61" i="39" s="1"/>
  <c r="D62" i="39"/>
  <c r="E62" i="39" s="1"/>
  <c r="F62" i="39" s="1"/>
  <c r="D47" i="39"/>
  <c r="E47" i="39" s="1"/>
  <c r="F47" i="39" s="1"/>
  <c r="F35" i="39"/>
  <c r="D60" i="39"/>
  <c r="E60" i="39" s="1"/>
  <c r="D45" i="39"/>
  <c r="E45" i="39" s="1"/>
  <c r="F45" i="39" s="1"/>
  <c r="D53" i="39"/>
  <c r="E53" i="39" s="1"/>
  <c r="F53" i="39" s="1"/>
  <c r="D43" i="39"/>
  <c r="E43" i="39" s="1"/>
  <c r="F43" i="39" s="1"/>
  <c r="E57" i="39"/>
  <c r="F57" i="39" s="1"/>
  <c r="D51" i="39"/>
  <c r="E51" i="39" s="1"/>
  <c r="F51" i="39" s="1"/>
  <c r="D40" i="39"/>
  <c r="E40" i="39" s="1"/>
  <c r="F40" i="39" s="1"/>
  <c r="D36" i="39"/>
  <c r="E36" i="39" s="1"/>
  <c r="F36" i="39" s="1"/>
  <c r="F51" i="22"/>
  <c r="F77" i="22"/>
  <c r="D26" i="39"/>
  <c r="F38" i="22"/>
  <c r="F64" i="22"/>
  <c r="F90" i="22"/>
  <c r="D46" i="39"/>
  <c r="E46" i="39" s="1"/>
  <c r="F46" i="39" s="1"/>
  <c r="D50" i="39"/>
  <c r="E50" i="39" s="1"/>
  <c r="F50" i="39" s="1"/>
  <c r="E292" i="22"/>
  <c r="F289" i="22"/>
  <c r="F292" i="22" s="1"/>
  <c r="F295" i="22" s="1"/>
  <c r="F24" i="22" s="1"/>
  <c r="D48" i="39"/>
  <c r="E48" i="39" s="1"/>
  <c r="F48" i="39" s="1"/>
  <c r="E58" i="39"/>
  <c r="F58" i="39" s="1"/>
  <c r="E699" i="11" l="1"/>
  <c r="E698" i="11"/>
  <c r="H49" i="21"/>
  <c r="E697" i="11"/>
  <c r="B49" i="21"/>
  <c r="E696" i="11"/>
  <c r="E700" i="11"/>
  <c r="F58" i="22"/>
  <c r="F84" i="22"/>
  <c r="C13" i="23"/>
  <c r="F71" i="22"/>
  <c r="F45" i="22"/>
  <c r="S110" i="11"/>
  <c r="D24" i="39"/>
  <c r="K67" i="11"/>
  <c r="M67" i="11" s="1"/>
  <c r="S67" i="11" s="1"/>
  <c r="F654" i="11"/>
  <c r="B664" i="11"/>
  <c r="S97" i="11"/>
  <c r="S99" i="11"/>
  <c r="S101" i="11"/>
  <c r="E414" i="22"/>
  <c r="E415" i="22"/>
  <c r="D419" i="22"/>
  <c r="C415" i="22"/>
  <c r="C416" i="22" s="1"/>
  <c r="C417" i="22" s="1"/>
  <c r="C418" i="22" s="1"/>
  <c r="E417" i="22"/>
  <c r="E418" i="22"/>
  <c r="E416" i="22"/>
  <c r="R620" i="11"/>
  <c r="S84" i="11"/>
  <c r="M91" i="11"/>
  <c r="S91" i="11" s="1"/>
  <c r="S81" i="11"/>
  <c r="S79" i="11"/>
  <c r="B665" i="11"/>
  <c r="G114" i="36" s="1"/>
  <c r="G648" i="11"/>
  <c r="F163" i="39"/>
  <c r="K87" i="11"/>
  <c r="M87" i="11" s="1"/>
  <c r="S87" i="11" s="1"/>
  <c r="M86" i="11"/>
  <c r="S86" i="11" s="1"/>
  <c r="B602" i="11"/>
  <c r="B603" i="11" s="1"/>
  <c r="B604" i="11" s="1"/>
  <c r="G604" i="11" s="1"/>
  <c r="B663" i="11" s="1"/>
  <c r="B743" i="11" s="1"/>
  <c r="B747" i="11" s="1"/>
  <c r="K117" i="11" s="1"/>
  <c r="B822" i="11"/>
  <c r="F56" i="39"/>
  <c r="F60" i="39"/>
  <c r="F93" i="22"/>
  <c r="C14" i="23" s="1"/>
  <c r="D66" i="39" l="1"/>
  <c r="E66" i="39" s="1"/>
  <c r="F66" i="39" s="1"/>
  <c r="D70" i="39"/>
  <c r="E70" i="39" s="1"/>
  <c r="F70" i="39" s="1"/>
  <c r="D67" i="39"/>
  <c r="E67" i="39" s="1"/>
  <c r="F67" i="39" s="1"/>
  <c r="D69" i="39"/>
  <c r="E69" i="39" s="1"/>
  <c r="F69" i="39" s="1"/>
  <c r="D68" i="39"/>
  <c r="E68" i="39" s="1"/>
  <c r="F68" i="39" s="1"/>
  <c r="D65" i="39"/>
  <c r="E65" i="39" s="1"/>
  <c r="F65" i="39" s="1"/>
  <c r="E701" i="11"/>
  <c r="D30" i="39"/>
  <c r="E419" i="22"/>
  <c r="B833" i="11"/>
  <c r="C833" i="11"/>
  <c r="C831" i="11"/>
  <c r="C830" i="11"/>
  <c r="C837" i="11"/>
  <c r="C835" i="11"/>
  <c r="B834" i="11"/>
  <c r="B832" i="11"/>
  <c r="B836" i="11"/>
  <c r="C829" i="11"/>
  <c r="B835" i="11"/>
  <c r="C832" i="11"/>
  <c r="B831" i="11"/>
  <c r="C834" i="11"/>
  <c r="B829" i="11"/>
  <c r="B830" i="11"/>
  <c r="B837" i="11"/>
  <c r="C836" i="11"/>
  <c r="B606" i="11"/>
  <c r="G606" i="11" s="1"/>
  <c r="K95" i="11"/>
  <c r="D54" i="39" l="1"/>
  <c r="E54" i="39" s="1"/>
  <c r="F54" i="39" s="1"/>
  <c r="D59" i="39"/>
  <c r="D49" i="39"/>
  <c r="D39" i="39"/>
  <c r="E39" i="39" s="1"/>
  <c r="F39" i="39" s="1"/>
  <c r="D44" i="39"/>
  <c r="F74" i="39"/>
  <c r="E49" i="39"/>
  <c r="F49" i="39" s="1"/>
  <c r="E44" i="39"/>
  <c r="F44" i="39" s="1"/>
  <c r="E59" i="39"/>
  <c r="F59" i="39" s="1"/>
  <c r="H836" i="11"/>
  <c r="J836" i="11" s="1"/>
  <c r="H831" i="11"/>
  <c r="J831" i="11" s="1"/>
  <c r="H835" i="11"/>
  <c r="J835" i="11" s="1"/>
  <c r="H829" i="11"/>
  <c r="J829" i="11" s="1"/>
  <c r="H837" i="11"/>
  <c r="J837" i="11" s="1"/>
  <c r="H830" i="11"/>
  <c r="J830" i="11" s="1"/>
  <c r="H832" i="11"/>
  <c r="J832" i="11" s="1"/>
  <c r="M95" i="11"/>
  <c r="S95" i="11" s="1"/>
  <c r="K96" i="11"/>
  <c r="M96" i="11" s="1"/>
  <c r="S96" i="11" s="1"/>
  <c r="K58" i="11"/>
  <c r="H834" i="11"/>
  <c r="J834" i="11" s="1"/>
  <c r="H833" i="11"/>
  <c r="J833" i="11" s="1"/>
  <c r="F73" i="39" l="1"/>
  <c r="C29" i="23" s="1"/>
  <c r="C30" i="23" s="1"/>
  <c r="D756" i="11"/>
  <c r="F756" i="11" s="1"/>
  <c r="D757" i="11"/>
  <c r="F757" i="11" s="1"/>
  <c r="D755" i="11"/>
  <c r="F755" i="11" s="1"/>
  <c r="D754" i="11"/>
  <c r="F754" i="11" s="1"/>
  <c r="B748" i="11"/>
  <c r="K119" i="11" s="1"/>
  <c r="M119" i="11" s="1"/>
  <c r="S119" i="11" s="1"/>
  <c r="D753" i="11"/>
  <c r="H840" i="11"/>
  <c r="C15" i="23"/>
  <c r="J838" i="11" l="1"/>
  <c r="J839" i="11"/>
  <c r="D760" i="11"/>
  <c r="F753" i="11"/>
  <c r="F759" i="11" l="1"/>
  <c r="F758" i="11"/>
  <c r="J840" i="11"/>
  <c r="D842" i="11" s="1"/>
  <c r="S122" i="11" s="1"/>
  <c r="F760" i="11" l="1"/>
  <c r="E767" i="11" s="1"/>
  <c r="S117" i="11" s="1"/>
  <c r="S168" i="11" l="1"/>
  <c r="C12" i="23" s="1"/>
  <c r="C16" i="23" l="1"/>
  <c r="C19" i="23" l="1"/>
  <c r="C20" i="23" s="1"/>
  <c r="C25" i="23"/>
  <c r="C24" i="23"/>
  <c r="C26" i="23"/>
  <c r="C21" i="23"/>
  <c r="C22" i="23"/>
  <c r="C23" i="23"/>
  <c r="G15" i="6"/>
  <c r="G16" i="6" s="1"/>
  <c r="C27" i="23" l="1"/>
  <c r="C35" i="23" s="1"/>
  <c r="C34" i="23" l="1"/>
  <c r="C42"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Abelmann, Christine</author>
  </authors>
  <commentList>
    <comment ref="H34" authorId="0" shapeId="0" xr:uid="{A0E702DE-C34D-4D7F-970D-CE7A39601375}">
      <text>
        <r>
          <rPr>
            <b/>
            <sz val="9"/>
            <color indexed="81"/>
            <rFont val="Tahoma"/>
            <family val="2"/>
          </rPr>
          <t>Abelmann, Christine:</t>
        </r>
        <r>
          <rPr>
            <sz val="9"/>
            <color indexed="81"/>
            <rFont val="Tahoma"/>
            <family val="2"/>
          </rPr>
          <t xml:space="preserve">
$0.55/mi if not consecutive days (not to exceed 2 trips), $110/day if consecutive days</t>
        </r>
      </text>
    </comment>
  </commentList>
</comments>
</file>

<file path=xl/sharedStrings.xml><?xml version="1.0" encoding="utf-8"?>
<sst xmlns="http://schemas.openxmlformats.org/spreadsheetml/2006/main" count="4571" uniqueCount="2206">
  <si>
    <t>ACRONYM LIST</t>
  </si>
  <si>
    <t>DEFINITION</t>
  </si>
  <si>
    <t>BMFOU</t>
  </si>
  <si>
    <t>Butte Mine Flooding Operable Unit</t>
  </si>
  <si>
    <t>BSB</t>
  </si>
  <si>
    <t>Butte Silver Bow</t>
  </si>
  <si>
    <t>CZABA</t>
  </si>
  <si>
    <t>Central Zone Alluvium Borrow Area</t>
  </si>
  <si>
    <t>DEQ</t>
  </si>
  <si>
    <t>Department of Environmental Quality</t>
  </si>
  <si>
    <t>EIS</t>
  </si>
  <si>
    <t>Environmental Impact Statement</t>
  </si>
  <si>
    <t>EOR</t>
  </si>
  <si>
    <t>Engineer of Record</t>
  </si>
  <si>
    <t>EPA</t>
  </si>
  <si>
    <t>Environmental Protection Agency</t>
  </si>
  <si>
    <t>GMMIA</t>
  </si>
  <si>
    <t>Granite Mountain Memorial Interpretive Area</t>
  </si>
  <si>
    <t>IRP</t>
  </si>
  <si>
    <t>Independent Review Panel</t>
  </si>
  <si>
    <t>LCY</t>
  </si>
  <si>
    <t>Loose Cubic Yard</t>
  </si>
  <si>
    <t>MCA</t>
  </si>
  <si>
    <t>Montana Code Annotated</t>
  </si>
  <si>
    <t>MEPA</t>
  </si>
  <si>
    <t>Montana Environmental Policy Act</t>
  </si>
  <si>
    <t>MMRA</t>
  </si>
  <si>
    <t>Metal Mine Reclamation Act</t>
  </si>
  <si>
    <t>MR</t>
  </si>
  <si>
    <t>Montana Resources</t>
  </si>
  <si>
    <t>OP</t>
  </si>
  <si>
    <t>Operating Permit</t>
  </si>
  <si>
    <t>RDS</t>
  </si>
  <si>
    <t>Rock Disposal Site</t>
  </si>
  <si>
    <t>Rec Plan</t>
  </si>
  <si>
    <t>Reclamation Plan</t>
  </si>
  <si>
    <t>ROD</t>
  </si>
  <si>
    <t>Record of Decision</t>
  </si>
  <si>
    <t>TSF</t>
  </si>
  <si>
    <t>Tailings Storage Facility</t>
  </si>
  <si>
    <t>VWP</t>
  </si>
  <si>
    <t>Vibrating Wire Piezometer</t>
  </si>
  <si>
    <t>WED</t>
  </si>
  <si>
    <t>West Embankment Drain</t>
  </si>
  <si>
    <t>YDTI</t>
  </si>
  <si>
    <t>Yankee Doodle Tailings Impoundment</t>
  </si>
  <si>
    <t>2023 RECLAMATION PLAN- CROSS REFERENCE TO 2025 BOND CALC</t>
  </si>
  <si>
    <t>SECTION</t>
  </si>
  <si>
    <t>TITLE</t>
  </si>
  <si>
    <t xml:space="preserve">INTRODUCTION </t>
  </si>
  <si>
    <t>-</t>
  </si>
  <si>
    <t xml:space="preserve">PURPOSE </t>
  </si>
  <si>
    <t xml:space="preserve">LOCATION </t>
  </si>
  <si>
    <t>AcreageTracking</t>
  </si>
  <si>
    <t xml:space="preserve">MODIFICATIONS </t>
  </si>
  <si>
    <t xml:space="preserve">OTHER AGENCIES INVOLVED IN RECLAMATION AT THE CONTINENTAL MINE </t>
  </si>
  <si>
    <t>Description</t>
  </si>
  <si>
    <t>1.4.1</t>
  </si>
  <si>
    <t xml:space="preserve">DEQ Water Quality Division, Water Protection Bureau </t>
  </si>
  <si>
    <t>1.4.2</t>
  </si>
  <si>
    <t xml:space="preserve">DEQ Air, Energy and Mining Division, Air Quality Bureau </t>
  </si>
  <si>
    <t>1.4.3</t>
  </si>
  <si>
    <t xml:space="preserve">US  Army Corps of Engineers (USACE) </t>
  </si>
  <si>
    <t>1.4.4</t>
  </si>
  <si>
    <t xml:space="preserve">US  Environmental Protection Agency (EPA) </t>
  </si>
  <si>
    <t xml:space="preserve">PREPARERS </t>
  </si>
  <si>
    <t xml:space="preserve">REGULATORY COMPLIANCE </t>
  </si>
  <si>
    <t xml:space="preserve">LAND USE </t>
  </si>
  <si>
    <t xml:space="preserve">PRE-PERMIT LAND USE </t>
  </si>
  <si>
    <t xml:space="preserve">ADJACENT LAND USE </t>
  </si>
  <si>
    <t xml:space="preserve">PERMITTED LAND USE </t>
  </si>
  <si>
    <t>2.3.1</t>
  </si>
  <si>
    <t>Watershed Protection</t>
  </si>
  <si>
    <t>2.3.2</t>
  </si>
  <si>
    <t xml:space="preserve">Wildlife Habitat </t>
  </si>
  <si>
    <t>2.3.2.1</t>
  </si>
  <si>
    <t>2.3.2.2</t>
  </si>
  <si>
    <t xml:space="preserve">Continental Pit and Central Zone Alluvium Borrow Area </t>
  </si>
  <si>
    <t>2.3.2.3</t>
  </si>
  <si>
    <t xml:space="preserve">Berkeley Pit </t>
  </si>
  <si>
    <t>2.3.2.4</t>
  </si>
  <si>
    <t xml:space="preserve">Other Disturbances </t>
  </si>
  <si>
    <t>2.3.3</t>
  </si>
  <si>
    <t xml:space="preserve">Ancillary Land Uses </t>
  </si>
  <si>
    <t xml:space="preserve">CONSISTENCY WITH BSB COMPREHENSIVE PLAN AND ZONING </t>
  </si>
  <si>
    <t>2.4.1</t>
  </si>
  <si>
    <t xml:space="preserve">Growth Policy </t>
  </si>
  <si>
    <t>2.4.2</t>
  </si>
  <si>
    <t xml:space="preserve">Zoning </t>
  </si>
  <si>
    <t xml:space="preserve">POST-CLOSURE TOPOGRAPHY AND DRAINAGE </t>
  </si>
  <si>
    <t xml:space="preserve">POST-CLOSURE FINAL GRADING AND TOPOGRAPHY </t>
  </si>
  <si>
    <t xml:space="preserve">POST-CLOSURE DRAINAGE AND CONTROLS </t>
  </si>
  <si>
    <t xml:space="preserve">MATERIAL CHARACTERIZATION </t>
  </si>
  <si>
    <t xml:space="preserve">MINE WASTE CHARACTERISTICS </t>
  </si>
  <si>
    <t>4.1.1</t>
  </si>
  <si>
    <t xml:space="preserve">Non-Ore Rock </t>
  </si>
  <si>
    <t>4.1.2</t>
  </si>
  <si>
    <t xml:space="preserve">Tailings </t>
  </si>
  <si>
    <t xml:space="preserve">COVERSOIL CHARACTERISTICS </t>
  </si>
  <si>
    <t>4.2.1</t>
  </si>
  <si>
    <t xml:space="preserve">Alluvium </t>
  </si>
  <si>
    <t>Earthmoving</t>
  </si>
  <si>
    <t>4.2.2</t>
  </si>
  <si>
    <t xml:space="preserve">Leached Cap </t>
  </si>
  <si>
    <t>4.2.3</t>
  </si>
  <si>
    <t xml:space="preserve">Topsoil </t>
  </si>
  <si>
    <t>4.2.3.1</t>
  </si>
  <si>
    <t xml:space="preserve">Existing Disturbances </t>
  </si>
  <si>
    <t>4.2.3.2</t>
  </si>
  <si>
    <t xml:space="preserve">Proposed Disturbances </t>
  </si>
  <si>
    <t>4.2.3.3</t>
  </si>
  <si>
    <t xml:space="preserve">Stockpile Storage and Protection </t>
  </si>
  <si>
    <t>4.2.4</t>
  </si>
  <si>
    <t xml:space="preserve">Preliminary Reclamation Coversoil Monitoring Results </t>
  </si>
  <si>
    <t xml:space="preserve">COVERSOIL BALANCE </t>
  </si>
  <si>
    <t xml:space="preserve">COVERSOIL DEPTHS </t>
  </si>
  <si>
    <t xml:space="preserve">DECOMPACTION </t>
  </si>
  <si>
    <t xml:space="preserve">AMENDMENTS </t>
  </si>
  <si>
    <t xml:space="preserve">LIME </t>
  </si>
  <si>
    <t xml:space="preserve">ORGANIC MATTER </t>
  </si>
  <si>
    <t xml:space="preserve">FERTILIZER </t>
  </si>
  <si>
    <t xml:space="preserve">REVEGETATION </t>
  </si>
  <si>
    <t>Revegetation</t>
  </si>
  <si>
    <t xml:space="preserve">SPECIES SELECTION AND SEED MIXTURES </t>
  </si>
  <si>
    <t>SEEDBED PREPARATION</t>
  </si>
  <si>
    <t xml:space="preserve">SEEDING SCHEDULE AND METHODS </t>
  </si>
  <si>
    <t xml:space="preserve">TREE PLANTING </t>
  </si>
  <si>
    <t xml:space="preserve">INTERIM REVEGETATION </t>
  </si>
  <si>
    <t xml:space="preserve">EROSION AND SEDIMENT CONTROL </t>
  </si>
  <si>
    <t xml:space="preserve">SOIL STABILIZATION </t>
  </si>
  <si>
    <t xml:space="preserve">MAINTENANCE AND REPAIRS </t>
  </si>
  <si>
    <t xml:space="preserve">RECLAMATION BY MINE COMPONENT </t>
  </si>
  <si>
    <t xml:space="preserve">YANKEE DOODLE TAILINGS IMPOUNDMENT </t>
  </si>
  <si>
    <t>Earthmoving, Revegetation</t>
  </si>
  <si>
    <t>8.1.1</t>
  </si>
  <si>
    <t xml:space="preserve">Embankment Slopes and Crest </t>
  </si>
  <si>
    <t>8.1.2</t>
  </si>
  <si>
    <t xml:space="preserve">Beach </t>
  </si>
  <si>
    <t>8.1.3</t>
  </si>
  <si>
    <t>Post-Closure Pond and Transition Zone</t>
  </si>
  <si>
    <t>Earthmoving, Revegetation, Other, Long-Term</t>
  </si>
  <si>
    <t>8.1.4</t>
  </si>
  <si>
    <t xml:space="preserve">Closure Spillway </t>
  </si>
  <si>
    <t>Other</t>
  </si>
  <si>
    <t>8.1.5</t>
  </si>
  <si>
    <t xml:space="preserve">West Embankment Drain and Pond </t>
  </si>
  <si>
    <t xml:space="preserve">ROCK DISPOSAL SITES </t>
  </si>
  <si>
    <t>8.2.1</t>
  </si>
  <si>
    <t xml:space="preserve">East RDS Complex </t>
  </si>
  <si>
    <t>8.2.1.1</t>
  </si>
  <si>
    <t xml:space="preserve">Hillcrest RDS </t>
  </si>
  <si>
    <t>8.2.1.2</t>
  </si>
  <si>
    <t xml:space="preserve">East RDS </t>
  </si>
  <si>
    <t>8.2.1.3</t>
  </si>
  <si>
    <t>North East RDS</t>
  </si>
  <si>
    <t>8.2.2</t>
  </si>
  <si>
    <t xml:space="preserve">North RDS </t>
  </si>
  <si>
    <t>8.2.3</t>
  </si>
  <si>
    <t xml:space="preserve">Great Northern RDS </t>
  </si>
  <si>
    <t>8.2.4</t>
  </si>
  <si>
    <t xml:space="preserve">Pittsmont RDS </t>
  </si>
  <si>
    <t>8.2.5</t>
  </si>
  <si>
    <t xml:space="preserve">Woodville RDS </t>
  </si>
  <si>
    <t>8.2.6</t>
  </si>
  <si>
    <t xml:space="preserve">Access RDS </t>
  </si>
  <si>
    <t>8.2.7</t>
  </si>
  <si>
    <t xml:space="preserve">Nalley Valley RDS </t>
  </si>
  <si>
    <t>8.2.8</t>
  </si>
  <si>
    <t xml:space="preserve">South Continental Pit RDS </t>
  </si>
  <si>
    <t>8.2.9</t>
  </si>
  <si>
    <t xml:space="preserve">Horseshoe Bend RDS </t>
  </si>
  <si>
    <t>PITS</t>
  </si>
  <si>
    <t>8.3.1</t>
  </si>
  <si>
    <t>8.3.2</t>
  </si>
  <si>
    <t xml:space="preserve">Continental Pit </t>
  </si>
  <si>
    <t>8.3.3</t>
  </si>
  <si>
    <t xml:space="preserve">Central Zone Alluvium Borrow Area </t>
  </si>
  <si>
    <t xml:space="preserve">LEACH PADS </t>
  </si>
  <si>
    <t>SUPPORT FACILITIES</t>
  </si>
  <si>
    <t>Facilities, Earthmoving, Revegetation</t>
  </si>
  <si>
    <t>8.5.1</t>
  </si>
  <si>
    <t xml:space="preserve">MMRA Facilities </t>
  </si>
  <si>
    <t>8.5.2</t>
  </si>
  <si>
    <t xml:space="preserve">Exempt Facilities </t>
  </si>
  <si>
    <t>AcreageTracking, Facilities</t>
  </si>
  <si>
    <t xml:space="preserve">SOIL STOCKPILE AREA RECLAMATION </t>
  </si>
  <si>
    <t xml:space="preserve">ALLUVIUM AND LEACHED CAP STOCKPILE AREA RECLAMATION </t>
  </si>
  <si>
    <t xml:space="preserve">MINE AND ACCESS ROADS </t>
  </si>
  <si>
    <t xml:space="preserve">LONG-TERM MONITORING SITES </t>
  </si>
  <si>
    <t>8.9.1</t>
  </si>
  <si>
    <t xml:space="preserve">Monitoring Wells and Drillholes </t>
  </si>
  <si>
    <t>8.9.2</t>
  </si>
  <si>
    <t xml:space="preserve">Trenches and Test Pits </t>
  </si>
  <si>
    <t>8.9.3</t>
  </si>
  <si>
    <t xml:space="preserve">Monitoring Access Roads </t>
  </si>
  <si>
    <t xml:space="preserve">BMFOU INFRASTRUCTURE </t>
  </si>
  <si>
    <t>Description, Facilities</t>
  </si>
  <si>
    <t xml:space="preserve">RECLAMATION SCHEDULE </t>
  </si>
  <si>
    <t xml:space="preserve">MANAGEMENT AND MONITORING </t>
  </si>
  <si>
    <t>Other, Long-Term</t>
  </si>
  <si>
    <t xml:space="preserve">PERMANENT EROSION AND SEDIMENT CONTROL </t>
  </si>
  <si>
    <t xml:space="preserve">YDTI FACILITIES </t>
  </si>
  <si>
    <t>10.2.1</t>
  </si>
  <si>
    <t>Quantitative Performance Parameters</t>
  </si>
  <si>
    <t>10.2.2</t>
  </si>
  <si>
    <t xml:space="preserve">Monitoring Frequency </t>
  </si>
  <si>
    <t>10.2.3</t>
  </si>
  <si>
    <t xml:space="preserve">Inspections and Reviews </t>
  </si>
  <si>
    <t>10.2.3.1</t>
  </si>
  <si>
    <t xml:space="preserve">Engineer of Record </t>
  </si>
  <si>
    <t>10.2.3.2</t>
  </si>
  <si>
    <t xml:space="preserve">Independent Review Panel </t>
  </si>
  <si>
    <t>10.2.4</t>
  </si>
  <si>
    <t xml:space="preserve">Post-Closure WED Management </t>
  </si>
  <si>
    <t>10.2.5</t>
  </si>
  <si>
    <t xml:space="preserve">Post-Closure Beach and Pond Management and Monitoring </t>
  </si>
  <si>
    <t xml:space="preserve">COVERSOIL TESTING </t>
  </si>
  <si>
    <t xml:space="preserve">REVEGETATION MONITORING AND MANAGEMENT </t>
  </si>
  <si>
    <t>10.4.1</t>
  </si>
  <si>
    <t xml:space="preserve">First Growing Season Monitoring </t>
  </si>
  <si>
    <t>10.4.1.1</t>
  </si>
  <si>
    <t xml:space="preserve">Perennial Grass Seedling Establishment </t>
  </si>
  <si>
    <t>10.4.1.2</t>
  </si>
  <si>
    <t xml:space="preserve">Erosion </t>
  </si>
  <si>
    <t>10.4.1.3</t>
  </si>
  <si>
    <t xml:space="preserve">Invasive Species </t>
  </si>
  <si>
    <t>10.4.2</t>
  </si>
  <si>
    <t xml:space="preserve">Subsequent Growing Season Monitoring </t>
  </si>
  <si>
    <t>10.4.2.1</t>
  </si>
  <si>
    <t xml:space="preserve">Canopy Cover and Species Composition </t>
  </si>
  <si>
    <t>10.4.3</t>
  </si>
  <si>
    <t xml:space="preserve">Revegetation Management </t>
  </si>
  <si>
    <t xml:space="preserve">WATER RESOURCES MONITORING </t>
  </si>
  <si>
    <t xml:space="preserve">DUST CONTROL </t>
  </si>
  <si>
    <t xml:space="preserve">WEED MANAGEMENT </t>
  </si>
  <si>
    <t>Montana Resources, LLC</t>
  </si>
  <si>
    <t>Operating Permit #00030</t>
  </si>
  <si>
    <t>Reclamation Bond Summary</t>
  </si>
  <si>
    <t>Item</t>
  </si>
  <si>
    <t>Total Cost</t>
  </si>
  <si>
    <t>Source, Assumptions, Adjustments, etc</t>
  </si>
  <si>
    <t>DIRECT COSTS</t>
  </si>
  <si>
    <t>Task 1- Facilities, Structures, Waste, Infrastructure</t>
  </si>
  <si>
    <t>Task 2- Earthmoving (Backfilling, Grading, Ripping, Soil Placement)</t>
  </si>
  <si>
    <t>Task 3- Revegetation</t>
  </si>
  <si>
    <t>Task 4- Other Reclamation Activities</t>
  </si>
  <si>
    <t>TOTAL DIRECT COSTS</t>
  </si>
  <si>
    <t>INDIRECT COSTS</t>
  </si>
  <si>
    <t>years</t>
  </si>
  <si>
    <t>Mobilization</t>
  </si>
  <si>
    <t>1% - 10% of Inflated Direct Costs (line 18)</t>
  </si>
  <si>
    <t>Contingencies</t>
  </si>
  <si>
    <t>Engineering Redesign Fee</t>
  </si>
  <si>
    <t xml:space="preserve">2.5% - 6% of Inflated Direct Costs (line 18) </t>
  </si>
  <si>
    <t>Contractor Profit/Overhead</t>
  </si>
  <si>
    <t>15% - 30% See Graph 1 (Graphs Tab)</t>
  </si>
  <si>
    <t>Project Management</t>
  </si>
  <si>
    <t>2% - 7% See Graph 2 (Graphs Tab)</t>
  </si>
  <si>
    <t>DEQ Indirect</t>
  </si>
  <si>
    <t>Other (BLM Project Management, Forest Service, etc)</t>
  </si>
  <si>
    <t>TOTAL INDIRECT COSTS</t>
  </si>
  <si>
    <t>GRAND TOTAL 5-YEAR BOND AMOUNT</t>
  </si>
  <si>
    <t>Existing Total Bond</t>
  </si>
  <si>
    <t>Existing Obligated Bond Total</t>
  </si>
  <si>
    <t>Existing Unobligated Bond Total</t>
  </si>
  <si>
    <t>Additional Bond Needed</t>
  </si>
  <si>
    <t>Feature</t>
  </si>
  <si>
    <t>Grand Total</t>
  </si>
  <si>
    <t>Alluvium Stockpile</t>
  </si>
  <si>
    <t>Continental Pit - Highwall</t>
  </si>
  <si>
    <t>Leach Pad</t>
  </si>
  <si>
    <t>McQueen Townsite</t>
  </si>
  <si>
    <t>Misc</t>
  </si>
  <si>
    <t>Office</t>
  </si>
  <si>
    <t>RDS Access</t>
  </si>
  <si>
    <t>RDS East</t>
  </si>
  <si>
    <t>RDS East Crest</t>
  </si>
  <si>
    <t>RDS Great Northern</t>
  </si>
  <si>
    <t>RDS HSB</t>
  </si>
  <si>
    <t>RDS Nalley Valley</t>
  </si>
  <si>
    <t>RDS North - Adjacent to TSF (Amend 010)</t>
  </si>
  <si>
    <t>RDS North East- New D East Expansion Disturbance</t>
  </si>
  <si>
    <t>RDS North East- New E East Drilling Disturbance</t>
  </si>
  <si>
    <t>RDS Pittsmont</t>
  </si>
  <si>
    <t>RDS Pittsmont Crest</t>
  </si>
  <si>
    <t>RDS South Continental Pit</t>
  </si>
  <si>
    <t>RDS South Continental Pit Crest</t>
  </si>
  <si>
    <t>Roads</t>
  </si>
  <si>
    <t>Soil Stockpile</t>
  </si>
  <si>
    <t>Undisturbed</t>
  </si>
  <si>
    <t>YDTI Beach</t>
  </si>
  <si>
    <t>YDTI East-West Embankment 2:1</t>
  </si>
  <si>
    <t>YDTI North Transition Zone</t>
  </si>
  <si>
    <t>YDTI North-South Embankment 2:1</t>
  </si>
  <si>
    <t>YDTI Tailings Transition Zone</t>
  </si>
  <si>
    <t>TSF: N-S Embankment Crest</t>
  </si>
  <si>
    <t>TSF: N-S Embankment Upstream</t>
  </si>
  <si>
    <t>TSF: N-S Embankment Downstream</t>
  </si>
  <si>
    <t>Assumed to be 2.7H:1V</t>
  </si>
  <si>
    <t>TSF: N-S Embankment Alluvium Area</t>
  </si>
  <si>
    <t>TSF: E-W Embankment Crest</t>
  </si>
  <si>
    <t>TSF: E-W Embankment Upstream</t>
  </si>
  <si>
    <t>TSF: E-W Embankment Downstream</t>
  </si>
  <si>
    <t>TSF: E-W Embankment Alluvium Area</t>
  </si>
  <si>
    <t>TSF: West Embankment Crest</t>
  </si>
  <si>
    <t>TSF: West Embankment Upstream</t>
  </si>
  <si>
    <t>TSF: West Embankment Downstream</t>
  </si>
  <si>
    <t>Only material placement- no regrade on West Embank downstream (COMBINATION OF MULTIPLE ANGLES)</t>
  </si>
  <si>
    <t>TSF: West Embankment- Alluvium Area</t>
  </si>
  <si>
    <t>23.1 acres of this area receives 14 inches alluvium, remaining slopes get 20 inches</t>
  </si>
  <si>
    <t>TSF: Beach at Closure- Total Area</t>
  </si>
  <si>
    <t>TSF: Beach at Closure- Alluvium Area @ 28 inches</t>
  </si>
  <si>
    <t>TSF: Beach at Closure- Alluvium Area @ 22 inches</t>
  </si>
  <si>
    <t>TSF: Beach at Closure- Soil Area @ 6 inches</t>
  </si>
  <si>
    <t>TSF- North Transition Zone</t>
  </si>
  <si>
    <t>RDS Access Crest</t>
  </si>
  <si>
    <t>RDS East - RELEASED</t>
  </si>
  <si>
    <t>RDS Hillcrest - RELEASED</t>
  </si>
  <si>
    <t>RDS North East - RELEASED</t>
  </si>
  <si>
    <t>RDS North East- 2022 D East Expansion</t>
  </si>
  <si>
    <t>RDS North East- 2025 E East Drilling</t>
  </si>
  <si>
    <t>RDS Pittsmont- Portion Removed for CZABA</t>
  </si>
  <si>
    <t xml:space="preserve">RDS South Continental Pit </t>
  </si>
  <si>
    <t>RDS Woodville - RELEASED</t>
  </si>
  <si>
    <t>Leach Pads- Crest</t>
  </si>
  <si>
    <t>Continental Pit- Accessible Benches</t>
  </si>
  <si>
    <t>Stockpile Footprints</t>
  </si>
  <si>
    <t>Misc. Disturbance</t>
  </si>
  <si>
    <t>Misc. Disturbance - RELEASED</t>
  </si>
  <si>
    <t>All RDS/Misc Areas Receiving Alluvium</t>
  </si>
  <si>
    <t>No TSF features, partial bond released features, stockpiles/borrow area, or pre-1974</t>
  </si>
  <si>
    <t>ALL AREAS RECEIVING ALLUVIUM</t>
  </si>
  <si>
    <t>No partial bond released features, stockpiles/borrow area, or pre-1974</t>
  </si>
  <si>
    <t>Some slope roads</t>
  </si>
  <si>
    <t>Flat roads</t>
  </si>
  <si>
    <t>All Road areas to be reclaimed (AC)</t>
  </si>
  <si>
    <t>Assume 50% area reduction</t>
  </si>
  <si>
    <t>Road Reclaimed (0-20% slope) (factor of 1.0)</t>
  </si>
  <si>
    <t>Road Reclaimed (20-40% slope) (factor of 1.0525)</t>
  </si>
  <si>
    <t>Corrected Reclaimable Road Area</t>
  </si>
  <si>
    <t>Project Description</t>
  </si>
  <si>
    <t>Demolition and removal of non-BMFOU structures, excludes facilities exempt from MMRA</t>
  </si>
  <si>
    <t>Removal and disposal of non-BMFOU equipment, materials, and/or hazardous wastes</t>
  </si>
  <si>
    <t>CZABA- Reclamation materials must be excavated for use across the entire site, tested for suitability, and separated for use. Footprint to be graded and ripped</t>
  </si>
  <si>
    <t>TSF- Embankments- grading slopes, rip crests, build runoff collection ditches, haul and spread alluvium/soil, rip rap above HSB</t>
  </si>
  <si>
    <t>TSF- Beach- Grading/backfilling settlement areas, haul and spread alluvium/soil. Some areas reclaimed immediately, others incrementally as pond recedes</t>
  </si>
  <si>
    <t>RDS and Leach Pads- Many locations- grading slopes and crests, build runoff collection ditches, haul and spread alluvium/soil</t>
  </si>
  <si>
    <t>Pits- Reslope accessible benches/roads, haul and spread alluvium/soil. Excludes Berkeley and elevations below the BMFOU PWL (5,410 ft) in Continental</t>
  </si>
  <si>
    <t>Roads- general access and haul roads- grading, rip rap channel protection, build runoff collection ditches, haul and spread alluvium/soil</t>
  </si>
  <si>
    <t>Stockpiles- rip surfaces in stockpile footprints after materials have been removed</t>
  </si>
  <si>
    <t>Misc. Disturbance and Drill pads- grading, haul and spread alluvium/soil</t>
  </si>
  <si>
    <t>All reclaimed surfaces that are ripped, graded, and/or covered with alluvium or soil (cited above) to be revegetated:</t>
  </si>
  <si>
    <t>Other areas to be revegetated without earthwork: McQueen Townsite, CZABA, partially reclaimed areas</t>
  </si>
  <si>
    <t>Seeding/planting</t>
  </si>
  <si>
    <t>Weed Control</t>
  </si>
  <si>
    <t>Minor Maintenance</t>
  </si>
  <si>
    <t>Tasks 4 and 5- Other Reclamation Activities and Long-Term Activities</t>
  </si>
  <si>
    <t>Full details provided in the Reclamation Plan</t>
  </si>
  <si>
    <t>Interim site management and maintenance while DEQ obtains bond (1 year)</t>
  </si>
  <si>
    <t>Site management, maintenance, and oversight during initial reclamation ("Closure Period" years 2-5)</t>
  </si>
  <si>
    <t>TSF- Beach- Monitoring tailings surface during drying, Dust control during closure periods (see Interim Maintenance and Post-Closure tasks)</t>
  </si>
  <si>
    <t>Plug and abandon water wells and drill holes, not required for BMFOU or long-term monitoring</t>
  </si>
  <si>
    <t>Monitoring-- water quality sitewide, embankment piezometer monitoring, systems maintenance, compilation of data and reporting</t>
  </si>
  <si>
    <t>WED- Grout/plug lower segment of WED, repair/clean Extraction Pond, maintain electrical system, install/operate submersible pumps in Extract Basins</t>
  </si>
  <si>
    <t>Repair/improve Clearwater Ditch with HDPE pipe, culverts, reinforcement mats, rip rap lined channels, maintenance</t>
  </si>
  <si>
    <t>SEE ACREAGE TRACKING TAB</t>
  </si>
  <si>
    <t>AC</t>
  </si>
  <si>
    <t>Facts</t>
  </si>
  <si>
    <t>Comprehensive 5 year Review-- previous Final Determination issued 1/4/2026</t>
  </si>
  <si>
    <t>General Assumptions:</t>
  </si>
  <si>
    <t xml:space="preserve">If bond forfeiture occurs, DEQ would solicit bids for all phases of the mine reclamation project. </t>
  </si>
  <si>
    <t xml:space="preserve">Based on DEQ experience at other mine sites, it is assumed the contractor would have the following earth moving equipment available. </t>
  </si>
  <si>
    <t xml:space="preserve">Sources: </t>
  </si>
  <si>
    <t>MR Permit Conditions (OP#00030) Operations and Reclamation Plans (2023)</t>
  </si>
  <si>
    <t>Annual Reports (2020-2025)</t>
  </si>
  <si>
    <t xml:space="preserve">References: </t>
  </si>
  <si>
    <t>Caterpillar Performance Handbook, Edition 49</t>
  </si>
  <si>
    <t>Costmine Equipment Rates, 2025</t>
  </si>
  <si>
    <t>Schedule:</t>
  </si>
  <si>
    <t>Background - Land Use and Other Stakeholders</t>
  </si>
  <si>
    <t>Background - Permit History and Bonding Levels</t>
  </si>
  <si>
    <t>Task 1- Facilities (Structures, Waste, Infrastructure)</t>
  </si>
  <si>
    <t>Size / Quantity</t>
  </si>
  <si>
    <t xml:space="preserve">Demolition Unit Cost </t>
  </si>
  <si>
    <t>Total Demolition Cost</t>
  </si>
  <si>
    <t>PRE-1971 PROCESSING FACILITIES (EXEMPT)</t>
  </si>
  <si>
    <t>Primary Crusher Area</t>
  </si>
  <si>
    <t xml:space="preserve">Exempt Pre-1971 processing facility </t>
  </si>
  <si>
    <t>No bond held- ($0/acre)</t>
  </si>
  <si>
    <t>Concentrator Area</t>
  </si>
  <si>
    <t>PRE-1974 DISTURBANCE AREAS</t>
  </si>
  <si>
    <t>Former Permit #00030 Footprint</t>
  </si>
  <si>
    <t>/AC</t>
  </si>
  <si>
    <t>PRE-1974 AREAS TOTAL</t>
  </si>
  <si>
    <t>REPORTED</t>
  </si>
  <si>
    <t>FACILITIES</t>
  </si>
  <si>
    <t>BUILDING DEMOLITION -  ASSUME ONSITE DISPOSAL</t>
  </si>
  <si>
    <t>Explosive Storage Areas</t>
  </si>
  <si>
    <t>Within Pre-1974 area ($500/acre)</t>
  </si>
  <si>
    <t>Accounted in other acreage tracking</t>
  </si>
  <si>
    <t>Powder Magazines</t>
  </si>
  <si>
    <t>Fuel Bays</t>
  </si>
  <si>
    <t>HSB Water Treatment Plant</t>
  </si>
  <si>
    <t>Used, Maintained, Reclaimed under BMFOU</t>
  </si>
  <si>
    <t>Return Water Barges (2)</t>
  </si>
  <si>
    <t>Water Management Structures</t>
  </si>
  <si>
    <t>Power Lines and Substations</t>
  </si>
  <si>
    <t>Central Water Tower</t>
  </si>
  <si>
    <t>Relocated Precip Plant (Pre-1974)</t>
  </si>
  <si>
    <t>Portion within Pre-1974 area ($500/acre)</t>
  </si>
  <si>
    <t>Relocated Precip Plant (Post-1974)</t>
  </si>
  <si>
    <t>Portion at full reclamation cost</t>
  </si>
  <si>
    <t>18" reinforced concrete</t>
  </si>
  <si>
    <t>Foundation Slab</t>
  </si>
  <si>
    <t>sf</t>
  </si>
  <si>
    <t>/sf</t>
  </si>
  <si>
    <t>6 inch cost multiplied by 3</t>
  </si>
  <si>
    <t>Bins/Walls</t>
  </si>
  <si>
    <t>lf</t>
  </si>
  <si>
    <t>/lf</t>
  </si>
  <si>
    <t>Assume that 750 ft (of total 1,250 ft) of walls are in post-1974 area</t>
  </si>
  <si>
    <t>Relocated Precip Plant- Shaker Building</t>
  </si>
  <si>
    <t>At full cost, Approx. dimensions: 30'L x 30'W x 10'H</t>
  </si>
  <si>
    <t xml:space="preserve">18" reinforced concrete? </t>
  </si>
  <si>
    <t>905 sf reported by MR in Rev22-001</t>
  </si>
  <si>
    <t>Footing</t>
  </si>
  <si>
    <t>/cf</t>
  </si>
  <si>
    <t>Steel frame building</t>
  </si>
  <si>
    <t>cf</t>
  </si>
  <si>
    <t>Volume estimated in Rev22-001</t>
  </si>
  <si>
    <t>PIPELINE &amp; CONDUIT REMOVAL</t>
  </si>
  <si>
    <t>Tailings Pump Stations (No. 3 and McQueen)</t>
  </si>
  <si>
    <t>Tailings Lines (pre-1974)</t>
  </si>
  <si>
    <t>TSF Return Water Lines (pre-1974)</t>
  </si>
  <si>
    <t>Tailings Lines (post-1974)</t>
  </si>
  <si>
    <t>TSF Return Water Lines (post-1974)</t>
  </si>
  <si>
    <t>Distance from E East to WQ-2 or WQ-5</t>
  </si>
  <si>
    <t>Plastic Pipe Removal (3/4" - 4")</t>
  </si>
  <si>
    <t>*2025 RS Means 02 41 13 38 1600</t>
  </si>
  <si>
    <t>Pipe Removal and Disposal</t>
  </si>
  <si>
    <t>Use labor hours for equipment and operator with on site disposal. Use material weight for off site disposal</t>
  </si>
  <si>
    <t>Disposal</t>
  </si>
  <si>
    <t>ton</t>
  </si>
  <si>
    <t>Landfill Fee</t>
  </si>
  <si>
    <t>/ton</t>
  </si>
  <si>
    <t>Dropoff &amp; Haul Fee</t>
  </si>
  <si>
    <t>hr</t>
  </si>
  <si>
    <t>/ea</t>
  </si>
  <si>
    <t>*haul time to C&amp;D landfill</t>
  </si>
  <si>
    <t>CHEMICAL/HAZ WASTE REMOVAL</t>
  </si>
  <si>
    <t>Fuel</t>
  </si>
  <si>
    <t>Oils/Lubricants</t>
  </si>
  <si>
    <t>Chemicals/Reagents</t>
  </si>
  <si>
    <t>ea</t>
  </si>
  <si>
    <t>FACILITIES TOTAL</t>
  </si>
  <si>
    <t>Reclamation Rates</t>
  </si>
  <si>
    <t>2025 Q1 RS Means Rates - Billings - Standard Union</t>
  </si>
  <si>
    <t>DEMOLITION</t>
  </si>
  <si>
    <t>Small Wood Building</t>
  </si>
  <si>
    <t>No salvage value, volume of standing bldg</t>
  </si>
  <si>
    <t>*2025 RS Means 02 41 16 13 0700</t>
  </si>
  <si>
    <t>Steel Building</t>
  </si>
  <si>
    <t>No foundation or dump fees, volume of standing bldg</t>
  </si>
  <si>
    <t>*2025 RS Means 02 41 16 13 0020</t>
  </si>
  <si>
    <t>Foundation</t>
  </si>
  <si>
    <t>6" Thick Foundation with Reinforcing Bar</t>
  </si>
  <si>
    <t>*2025 RS Means 02 41 16 17 0440</t>
  </si>
  <si>
    <t>Footing - Standard</t>
  </si>
  <si>
    <t>1' Thick x 2' Wide Footing</t>
  </si>
  <si>
    <t>*2025 RS Means 02 41 16 17 1000</t>
  </si>
  <si>
    <t>Footing - Heavy</t>
  </si>
  <si>
    <t>2' Thick x 3' Wide Footing</t>
  </si>
  <si>
    <t>*2025 RS Means 02 41 16.17 1140</t>
  </si>
  <si>
    <t xml:space="preserve">Bridge Demolition - Steel, 50-100ft long, 8-10ft wide </t>
  </si>
  <si>
    <t>*2025 RS Means 02 41 16 33 0200</t>
  </si>
  <si>
    <t>Guard Rail Demolition - Corrugated Steel</t>
  </si>
  <si>
    <t>*2025 RS Means 02 41 13 20 0100</t>
  </si>
  <si>
    <t>Bridge Footing Demolition</t>
  </si>
  <si>
    <t>*2025 RS Means 02 41 19 16 0050</t>
  </si>
  <si>
    <t>Fencing</t>
  </si>
  <si>
    <t>Chain link, posts and wire, 8-10' high, removal + disposal</t>
  </si>
  <si>
    <t>*2025 RS Means 02 41 13 60 1700</t>
  </si>
  <si>
    <t xml:space="preserve">Surface Pipeline </t>
  </si>
  <si>
    <t>Production Rate: Plastic Pipe Removal (3/4" - 4")</t>
  </si>
  <si>
    <t>lf/day</t>
  </si>
  <si>
    <t>Production Rate: Plastic Pipe Removal (6" - 8")</t>
  </si>
  <si>
    <t>*2025 RS Means 02 41 13 38 1700</t>
  </si>
  <si>
    <t>Production Rate: Plastic Pipe Removal (10" - 18")</t>
  </si>
  <si>
    <t>*2025 RS Means 02 41 13 38 1800</t>
  </si>
  <si>
    <t>Production Rate: Plastic Pipe Removal (20"-36")</t>
  </si>
  <si>
    <t>*2025 RS Means 02 41 13 38 1900</t>
  </si>
  <si>
    <t>Steel Bridge Deck Demolition</t>
  </si>
  <si>
    <t>Production Rate</t>
  </si>
  <si>
    <t>sf/day</t>
  </si>
  <si>
    <t>Guard Rail Demolition</t>
  </si>
  <si>
    <t>Steel Tank Demolition</t>
  </si>
  <si>
    <t>Above Ground: 550 - 2,000 gal</t>
  </si>
  <si>
    <t>*2025 RS Means 13 05 05 75 0520</t>
  </si>
  <si>
    <t>Above Ground: 5,000 - 10,000 gal</t>
  </si>
  <si>
    <t>*2025 RS Means 13 05 05 75 0530</t>
  </si>
  <si>
    <t>Above Ground: 15,000 - 30,000 gal</t>
  </si>
  <si>
    <t>*2025 RS Means 13 05 05 75 0540</t>
  </si>
  <si>
    <t>Petroleum Tank Cleaning - 500 gal</t>
  </si>
  <si>
    <t>*2025 RS Means 02 65 10 30 0813</t>
  </si>
  <si>
    <t>Petroleum Tank Cleaning - 3,000 gal</t>
  </si>
  <si>
    <t>*2025 RS Means 02 65 10 30 0823</t>
  </si>
  <si>
    <t>Petroleum Tank Cleaning - 5,000 gal</t>
  </si>
  <si>
    <t>*2025 RS Means 02 65 10 30 0833</t>
  </si>
  <si>
    <t>Petroleum Tank Cleaning - 8,000 gal</t>
  </si>
  <si>
    <t>*2025 RS Means 02 65 10 30 0843</t>
  </si>
  <si>
    <t>Petroleum Tank Cleaning - 10,000 gal</t>
  </si>
  <si>
    <t>*2025 RS Means 02 65 10 30 0853</t>
  </si>
  <si>
    <t>Petroleum Tank Cleaning - 12,000+ gal</t>
  </si>
  <si>
    <t>*2025 RS Means 02 65 10 30 0863</t>
  </si>
  <si>
    <t>Underground Storage Tank Cleaning and Removal</t>
  </si>
  <si>
    <t>*2025 RS Means 02 65 10 30 0320</t>
  </si>
  <si>
    <t>Concrete Pressure Grouting, 1:1 Sand (for closing buried pipelines)</t>
  </si>
  <si>
    <t>*2025 RS Means 31 43 13 13 0200</t>
  </si>
  <si>
    <t>Gas Piping Removal</t>
  </si>
  <si>
    <t>3"-4" PE Pipe</t>
  </si>
  <si>
    <t>*2025 RS Means 02 41 13 50 0200</t>
  </si>
  <si>
    <t>Septic Pipeline and Infrastructure Excavation</t>
  </si>
  <si>
    <t>*2025 RS Means 31 23 16 13 0110</t>
  </si>
  <si>
    <t>Concrete Installation</t>
  </si>
  <si>
    <t>/cy</t>
  </si>
  <si>
    <t>*2025 RS Means 03 05 05 10 0280</t>
  </si>
  <si>
    <t>DISPOSAL COSTS</t>
  </si>
  <si>
    <t>*Assumes double 30 CY/ 10 ton Roll-Off Box</t>
  </si>
  <si>
    <t>Billings Regional Landfill (2021)</t>
  </si>
  <si>
    <t>/roll-off</t>
  </si>
  <si>
    <t>Mackenzie Disposal (2025)</t>
  </si>
  <si>
    <t>Rental Rate</t>
  </si>
  <si>
    <t>/day</t>
  </si>
  <si>
    <t>Rolloff Capacity</t>
  </si>
  <si>
    <t>CY</t>
  </si>
  <si>
    <t>CF</t>
  </si>
  <si>
    <t xml:space="preserve">Hazardous Waste Disposal (Liquid) </t>
  </si>
  <si>
    <t>/hr</t>
  </si>
  <si>
    <t>*2025 RS Means 02 81 20 10 3110</t>
  </si>
  <si>
    <t xml:space="preserve">Hazardous Waste Disposal (Sludge) </t>
  </si>
  <si>
    <t>*2025 RS Means 02 81 20 10 5000</t>
  </si>
  <si>
    <t xml:space="preserve">Hazardous Waste Disposal (Solid) </t>
  </si>
  <si>
    <t>*2025 RS Means 02 81 20 10 1130</t>
  </si>
  <si>
    <t>Hazardous Waste Transportation</t>
  </si>
  <si>
    <t>/mi</t>
  </si>
  <si>
    <t>*2025 RS Means 02 81 20 10 1270</t>
  </si>
  <si>
    <t>Hazardous Waste Disposal</t>
  </si>
  <si>
    <t>*2025 RS Means 02 81 20 10 6020</t>
  </si>
  <si>
    <t>Transport Petroleum Tank to Salvage Dump (@100 mi RT) - 5,000 gal</t>
  </si>
  <si>
    <t>Doubled RS Means for 200mi RT</t>
  </si>
  <si>
    <t>*2025 RS Means 02 65 10 30 1023</t>
  </si>
  <si>
    <t>Transport Petroleum Tank to Salvage Dump (@100 mi RT) - 8,000 gal</t>
  </si>
  <si>
    <t>*2025 RS Means 02 65 10 30 1026</t>
  </si>
  <si>
    <t>Transport Petroleum Tank to Salvage Dump (@100 mi RT) - 12,000 gal</t>
  </si>
  <si>
    <t>*2025 RS Means 02 65 10 30 1029</t>
  </si>
  <si>
    <t>Petroleum Sludge Disposal</t>
  </si>
  <si>
    <t>/gal</t>
  </si>
  <si>
    <t>*2025 RS Means 02 65 10 30 0390</t>
  </si>
  <si>
    <t>Precipitation Plant Demolition and Removal</t>
  </si>
  <si>
    <t>Floor Slab (Post-1974 area)</t>
  </si>
  <si>
    <r>
      <t>Surface Area (ft</t>
    </r>
    <r>
      <rPr>
        <b/>
        <vertAlign val="superscript"/>
        <sz val="11"/>
        <color theme="1"/>
        <rFont val="Calibri"/>
        <family val="2"/>
        <scheme val="minor"/>
      </rPr>
      <t>2</t>
    </r>
    <r>
      <rPr>
        <b/>
        <sz val="11"/>
        <color theme="1"/>
        <rFont val="Calibri"/>
        <family val="2"/>
        <scheme val="minor"/>
      </rPr>
      <t>)</t>
    </r>
  </si>
  <si>
    <t>Surface Area (acres)</t>
  </si>
  <si>
    <t>Reported by MR</t>
  </si>
  <si>
    <t>Bins/Walls (Post-1974 area)</t>
  </si>
  <si>
    <r>
      <t>Bin Area (ft</t>
    </r>
    <r>
      <rPr>
        <b/>
        <vertAlign val="superscript"/>
        <sz val="11"/>
        <color theme="1"/>
        <rFont val="Calibri"/>
        <family val="2"/>
        <scheme val="minor"/>
      </rPr>
      <t>2</t>
    </r>
    <r>
      <rPr>
        <b/>
        <sz val="11"/>
        <color theme="1"/>
        <rFont val="Calibri"/>
        <family val="2"/>
        <scheme val="minor"/>
      </rPr>
      <t>) (Est.)</t>
    </r>
  </si>
  <si>
    <r>
      <t>Material Volume (ft</t>
    </r>
    <r>
      <rPr>
        <b/>
        <vertAlign val="superscript"/>
        <sz val="11"/>
        <color theme="1"/>
        <rFont val="Calibri"/>
        <family val="2"/>
        <scheme val="minor"/>
      </rPr>
      <t>3</t>
    </r>
    <r>
      <rPr>
        <b/>
        <sz val="11"/>
        <color theme="1"/>
        <rFont val="Calibri"/>
        <family val="2"/>
        <scheme val="minor"/>
      </rPr>
      <t>)</t>
    </r>
  </si>
  <si>
    <t>Estimated</t>
  </si>
  <si>
    <t>18" (1.5 ft) thick</t>
  </si>
  <si>
    <t>Shaker Building Demolition and Removal</t>
  </si>
  <si>
    <t>Shaker Building (Post-1974 area)</t>
  </si>
  <si>
    <r>
      <t>Debris Volume (ft</t>
    </r>
    <r>
      <rPr>
        <b/>
        <vertAlign val="superscript"/>
        <sz val="11"/>
        <color theme="1"/>
        <rFont val="Calibri"/>
        <family val="2"/>
        <scheme val="minor"/>
      </rPr>
      <t>3</t>
    </r>
    <r>
      <rPr>
        <b/>
        <sz val="11"/>
        <color theme="1"/>
        <rFont val="Calibri"/>
        <family val="2"/>
        <scheme val="minor"/>
      </rPr>
      <t>)</t>
    </r>
  </si>
  <si>
    <t>Estimated 10' tall, assume steel frame, exterior, roof</t>
  </si>
  <si>
    <r>
      <t>Debris Volume (yd</t>
    </r>
    <r>
      <rPr>
        <b/>
        <vertAlign val="superscript"/>
        <sz val="11"/>
        <color theme="1"/>
        <rFont val="Calibri"/>
        <family val="2"/>
        <scheme val="minor"/>
      </rPr>
      <t>3</t>
    </r>
    <r>
      <rPr>
        <b/>
        <sz val="11"/>
        <color theme="1"/>
        <rFont val="Calibri"/>
        <family val="2"/>
        <scheme val="minor"/>
      </rPr>
      <t>)</t>
    </r>
  </si>
  <si>
    <t>https://vinedisposal.com/how-to-calculate-demolition-debris-waste.html</t>
  </si>
  <si>
    <t>Shaker Foundation (Post-1974 area)</t>
  </si>
  <si>
    <r>
      <t>Slab Area (ft</t>
    </r>
    <r>
      <rPr>
        <b/>
        <vertAlign val="superscript"/>
        <sz val="11"/>
        <color theme="1"/>
        <rFont val="Calibri"/>
        <family val="2"/>
        <scheme val="minor"/>
      </rPr>
      <t>2</t>
    </r>
    <r>
      <rPr>
        <b/>
        <sz val="11"/>
        <color theme="1"/>
        <rFont val="Calibri"/>
        <family val="2"/>
        <scheme val="minor"/>
      </rPr>
      <t>)</t>
    </r>
  </si>
  <si>
    <t>Water Pipelines (36 inch HDPE)</t>
  </si>
  <si>
    <t>Post-1974 Area Pipelines in Pink</t>
  </si>
  <si>
    <t>TOTAL</t>
  </si>
  <si>
    <t>N-S Embank</t>
  </si>
  <si>
    <t>Main Lengths - 2 lines</t>
  </si>
  <si>
    <t>ft</t>
  </si>
  <si>
    <t>Lower/Lunchroom</t>
  </si>
  <si>
    <t>3 lines visible</t>
  </si>
  <si>
    <t>Tailings Pipelines (24-26 inch HDPE)</t>
  </si>
  <si>
    <t>West +E-W Embank</t>
  </si>
  <si>
    <t>Main Lengths</t>
  </si>
  <si>
    <t>Spigot Lines</t>
  </si>
  <si>
    <t>Main Length</t>
  </si>
  <si>
    <t>4 lines visible</t>
  </si>
  <si>
    <t>CORRECTED ACREAGES ARE BELOW ON THIS TAB</t>
  </si>
  <si>
    <t>Efficiency</t>
  </si>
  <si>
    <t>Task</t>
  </si>
  <si>
    <t>Equipment</t>
  </si>
  <si>
    <t>Grade</t>
  </si>
  <si>
    <t>Total Factor</t>
  </si>
  <si>
    <t>Production</t>
  </si>
  <si>
    <t>Net Production</t>
  </si>
  <si>
    <t>Quantity</t>
  </si>
  <si>
    <t>Total Required</t>
  </si>
  <si>
    <t>Equipment Cost</t>
  </si>
  <si>
    <t>Labor Cost</t>
  </si>
  <si>
    <t>TOTAL COST</t>
  </si>
  <si>
    <t>EARTHMOVING</t>
  </si>
  <si>
    <t>Ripping</t>
  </si>
  <si>
    <t>SEE MORE NOTES BELOW</t>
  </si>
  <si>
    <t>Roads + TSF Crest Roads (post-1974 area)</t>
  </si>
  <si>
    <t>Dozer with Ripper (Cat D10T)</t>
  </si>
  <si>
    <t>AC/hr</t>
  </si>
  <si>
    <t>Reduce current road footprints (width or acreage) by 50%, leave remaining roads for access</t>
  </si>
  <si>
    <t>(2) Dozer with Ripper (Cat D10T)</t>
  </si>
  <si>
    <t>CZABA Bench/Ramp</t>
  </si>
  <si>
    <t>Recontouring - Regrading</t>
  </si>
  <si>
    <t>Dozer (Cat D10T)</t>
  </si>
  <si>
    <t>LCY/hr</t>
  </si>
  <si>
    <t>NA- At final slope, further grading not needed</t>
  </si>
  <si>
    <t>TSF: Beach Settlement (10% of area)</t>
  </si>
  <si>
    <t>Dozer (Cat D6)</t>
  </si>
  <si>
    <t>*Not split up on map, like others: 7.0 acres measured on dump top, remaining slope (corrected) is 12.5 ac</t>
  </si>
  <si>
    <t>NA- previously released, further grading not needed</t>
  </si>
  <si>
    <t>Dozer (Cat D8T)</t>
  </si>
  <si>
    <t>Pit Benches</t>
  </si>
  <si>
    <t>Rock Removal and Relocation</t>
  </si>
  <si>
    <t>TOTAL VOLUME NEEDED</t>
  </si>
  <si>
    <t>TOTAL AREA COVERED</t>
  </si>
  <si>
    <t xml:space="preserve">Alluvium/Soil Placement </t>
  </si>
  <si>
    <t>Areas receiving Alluvium +/- Soil:</t>
  </si>
  <si>
    <t xml:space="preserve">TSF: N-S Embankment (Load/Haul/Dump) </t>
  </si>
  <si>
    <t>*Labor included in Equipment total</t>
  </si>
  <si>
    <t>Spread Alluvium</t>
  </si>
  <si>
    <t>(2) D10T</t>
  </si>
  <si>
    <t xml:space="preserve">TSF: E-W Embankment (Load/Haul/Dump) </t>
  </si>
  <si>
    <t>Spread Soil</t>
  </si>
  <si>
    <t>(2) D8T</t>
  </si>
  <si>
    <t>TSF: Beach at Closure- Alluvium Area (Includes 22" and 28")</t>
  </si>
  <si>
    <t>(1) D10T</t>
  </si>
  <si>
    <t>TSF: Beach at Closure- Soil Area (6" added on 22" alluvium)</t>
  </si>
  <si>
    <t>Previous Partial Release</t>
  </si>
  <si>
    <t>Leach Pads</t>
  </si>
  <si>
    <t>Recontouring/Regrading</t>
  </si>
  <si>
    <t>TSF: Transition Zone Settlement (10% of area)</t>
  </si>
  <si>
    <t>Only seeded- no alluvium placement</t>
  </si>
  <si>
    <t>Alluvium Testing and Separation</t>
  </si>
  <si>
    <t>Alluvium Volume for Testing (not all suitable)</t>
  </si>
  <si>
    <t>Many parameters and variable sampling frequencies, based on volume- see calculations below</t>
  </si>
  <si>
    <t>Suitable material placement is addressed in costs above</t>
  </si>
  <si>
    <t>Separate Nonsuitable Material:</t>
  </si>
  <si>
    <t>Respread Soil Monitoring</t>
  </si>
  <si>
    <t>All features receiving alluvium and soil placement</t>
  </si>
  <si>
    <t>Many parameters and variable sampling frequencies, based on acreage- see calculations below</t>
  </si>
  <si>
    <t>Hot Spot Repair- Hillcrest</t>
  </si>
  <si>
    <t>RDS Hillcrest Hot Spots (estimated area)</t>
  </si>
  <si>
    <t>hr/hot spot</t>
  </si>
  <si>
    <t>hot spots</t>
  </si>
  <si>
    <t>Includes dozer for ripping/incorporating to 18 inches, plus the cost for lime</t>
  </si>
  <si>
    <t xml:space="preserve">Construct Surface Water Collection Ditches </t>
  </si>
  <si>
    <t>TSF: N-S Embankment</t>
  </si>
  <si>
    <t>lf/hr</t>
  </si>
  <si>
    <t>Prior bond map measurements</t>
  </si>
  <si>
    <t>TSF: E-W Embankment</t>
  </si>
  <si>
    <t>TSF: West Embankment</t>
  </si>
  <si>
    <t>NA</t>
  </si>
  <si>
    <t>Not Applicable for short slopes, only basins</t>
  </si>
  <si>
    <t>RDS Hillcrest</t>
  </si>
  <si>
    <t>Roads (post-1974 areas)</t>
  </si>
  <si>
    <t>Runoff Ditch A</t>
  </si>
  <si>
    <t>Runoff Ditch B</t>
  </si>
  <si>
    <t>2023 Rec Plan- Measure Map (GIS or Google)</t>
  </si>
  <si>
    <t>Runoff Ditch C (post-1974 areas)</t>
  </si>
  <si>
    <t>Runoff Ditch- Clearwater (not upper 840 ft)</t>
  </si>
  <si>
    <t>Upper 840 ft is bonded separately</t>
  </si>
  <si>
    <t>Rip Rap Channel Protection</t>
  </si>
  <si>
    <t>Assume approx. 27 ft^3 riprap per foot length of armored swale (KP, 2020; half of the volumetric conversion of the TSF Spillway)</t>
  </si>
  <si>
    <t>/LCY</t>
  </si>
  <si>
    <t>Rip Rap Slope above HSB</t>
  </si>
  <si>
    <t xml:space="preserve">TSF: E-W Embankment </t>
  </si>
  <si>
    <t xml:space="preserve">TSF: N-S Embankment </t>
  </si>
  <si>
    <t>Runoff Settling Basins</t>
  </si>
  <si>
    <t>Basins in pre-1974 areas (n = 5)</t>
  </si>
  <si>
    <t>Basins in post-1974 areas (n = 5; 0.1 acre each)</t>
  </si>
  <si>
    <t>Upper Clearwater Ditch Improvements</t>
  </si>
  <si>
    <t>Install HDPE pipe (24 inch)</t>
  </si>
  <si>
    <t>Install Concrete Manholes (n = 5)</t>
  </si>
  <si>
    <t>each</t>
  </si>
  <si>
    <t>Install slope reinforcement mat</t>
  </si>
  <si>
    <t>sqyd</t>
  </si>
  <si>
    <t>Excavation and Backfill</t>
  </si>
  <si>
    <t>Pipe Excavation &amp; Backfill</t>
  </si>
  <si>
    <t>Manhole Excavation &amp; Backfill</t>
  </si>
  <si>
    <t>EARTHMOVING TOTAL</t>
  </si>
  <si>
    <t>General Earthmoving Assumptions</t>
  </si>
  <si>
    <t xml:space="preserve">Equipment Efficiency: </t>
  </si>
  <si>
    <t>Crawler Equipment (tracks)</t>
  </si>
  <si>
    <t>Rubber-tired Equipment</t>
  </si>
  <si>
    <t>Condition</t>
  </si>
  <si>
    <t>Excellent</t>
  </si>
  <si>
    <t>Average</t>
  </si>
  <si>
    <t>Poor/Night</t>
  </si>
  <si>
    <t xml:space="preserve">Dozer Groundwork Production: </t>
  </si>
  <si>
    <t>Includes assumed equipment and operator efficiency rates</t>
  </si>
  <si>
    <r>
      <rPr>
        <b/>
        <sz val="11"/>
        <color theme="1"/>
        <rFont val="Calibri"/>
        <family val="2"/>
        <scheme val="minor"/>
      </rPr>
      <t>D6T</t>
    </r>
    <r>
      <rPr>
        <sz val="11"/>
        <color theme="1"/>
        <rFont val="Calibri"/>
        <family val="2"/>
        <scheme val="minor"/>
      </rPr>
      <t xml:space="preserve"> Contouring/Dozer Equipment Production Calculations</t>
    </r>
  </si>
  <si>
    <t>Dozer D8T</t>
  </si>
  <si>
    <t>Dozer Material Moving</t>
  </si>
  <si>
    <t>Dozer Pushing Production @ 100ft Push Distance</t>
  </si>
  <si>
    <t>*Cat Production Handbook 49 (19-61)</t>
  </si>
  <si>
    <t xml:space="preserve">Volume to Push (2ft depth) </t>
  </si>
  <si>
    <t>LCY/AC</t>
  </si>
  <si>
    <t>Dozer Production Rate</t>
  </si>
  <si>
    <t>Dozer Grading</t>
  </si>
  <si>
    <t>Dozer Grading Speed</t>
  </si>
  <si>
    <t>mph</t>
  </si>
  <si>
    <t>Blade Width (Semi U)</t>
  </si>
  <si>
    <t>*Cat Production Handbook 49 (19-47)</t>
  </si>
  <si>
    <t>Grading Pass Overlap</t>
  </si>
  <si>
    <t>Dozer Ripping</t>
  </si>
  <si>
    <t>Dozer Ripping Speed</t>
  </si>
  <si>
    <t xml:space="preserve">Rip Width </t>
  </si>
  <si>
    <t>*Cat Production Handbook 49 (19-75)</t>
  </si>
  <si>
    <t xml:space="preserve">Rip Length (per Acre) </t>
  </si>
  <si>
    <t xml:space="preserve">Rip Time (per Acre) </t>
  </si>
  <si>
    <t>Shank Depth</t>
  </si>
  <si>
    <t>Volume Ripped</t>
  </si>
  <si>
    <t>cy/AC</t>
  </si>
  <si>
    <t>Dozer Ripping Production Rate</t>
  </si>
  <si>
    <r>
      <rPr>
        <b/>
        <sz val="11"/>
        <color theme="1"/>
        <rFont val="Calibri"/>
        <family val="2"/>
        <scheme val="minor"/>
      </rPr>
      <t>D8T</t>
    </r>
    <r>
      <rPr>
        <sz val="11"/>
        <color theme="1"/>
        <rFont val="Calibri"/>
        <family val="2"/>
        <scheme val="minor"/>
      </rPr>
      <t xml:space="preserve"> Contouring/Dozer Equipment Production Calculations</t>
    </r>
  </si>
  <si>
    <t>*Cat Production Handbook 49 (19-60)</t>
  </si>
  <si>
    <t>Dozer Pushing Production @ 300ft Push Distance</t>
  </si>
  <si>
    <t>*Cat Production Handbook 49</t>
  </si>
  <si>
    <t>*Cat Production Handbook 49 (19-79)</t>
  </si>
  <si>
    <r>
      <rPr>
        <b/>
        <sz val="11"/>
        <color theme="1"/>
        <rFont val="Calibri"/>
        <family val="2"/>
        <scheme val="minor"/>
      </rPr>
      <t>D10T</t>
    </r>
    <r>
      <rPr>
        <sz val="11"/>
        <color theme="1"/>
        <rFont val="Calibri"/>
        <family val="2"/>
        <scheme val="minor"/>
      </rPr>
      <t xml:space="preserve"> Contouring/Dozer Equipment Production Calculations</t>
    </r>
  </si>
  <si>
    <t>Dozer D10T</t>
  </si>
  <si>
    <t>*Cat Production Handbook 49 (19-81)</t>
  </si>
  <si>
    <t>Alluvium Hauling Equipment Production Calculations</t>
  </si>
  <si>
    <t>N-S Embankment</t>
  </si>
  <si>
    <t>E-W Embankment</t>
  </si>
  <si>
    <t>West Embankment</t>
  </si>
  <si>
    <t>TSF - Alluvium</t>
  </si>
  <si>
    <t xml:space="preserve">East Dump </t>
  </si>
  <si>
    <t>Access</t>
  </si>
  <si>
    <t>Nalley Valley</t>
  </si>
  <si>
    <t>S. Cont. Pit</t>
  </si>
  <si>
    <t>Pittsmont</t>
  </si>
  <si>
    <t>E East (MR25-001)</t>
  </si>
  <si>
    <t>Haul Distance (Stockpile to Placement Area)</t>
  </si>
  <si>
    <t xml:space="preserve">LF (to Central Zone) </t>
  </si>
  <si>
    <t>Hauler Cycle Time</t>
  </si>
  <si>
    <t xml:space="preserve">Truck Loaded Speed </t>
  </si>
  <si>
    <t>Truck Unloaded Speed</t>
  </si>
  <si>
    <t>Load Time (with Exchange)</t>
  </si>
  <si>
    <t>min</t>
  </si>
  <si>
    <t>Haul Time (Loaded)</t>
  </si>
  <si>
    <t>Dump and Maneuver</t>
  </si>
  <si>
    <t>Return Time (Unloaded)</t>
  </si>
  <si>
    <t>Total Cycle Time (Truck)</t>
  </si>
  <si>
    <t>Hauler Production</t>
  </si>
  <si>
    <t>Hauler Capacity (Truck)</t>
  </si>
  <si>
    <t>Total Hauler Production</t>
  </si>
  <si>
    <t>CY/hr</t>
  </si>
  <si>
    <t>Loader Cycle Time</t>
  </si>
  <si>
    <t xml:space="preserve">Loader Capacity </t>
  </si>
  <si>
    <t>Loader Passes/Hauler</t>
  </si>
  <si>
    <t>Load Hauler Time</t>
  </si>
  <si>
    <t>Number of Trucks Required (per Loader)</t>
  </si>
  <si>
    <t>Trks</t>
  </si>
  <si>
    <t>Number of Trucks Assumed</t>
  </si>
  <si>
    <t>Total Production Rate</t>
  </si>
  <si>
    <t>Hauling Production Rate</t>
  </si>
  <si>
    <t xml:space="preserve">Hourly Fleet Rate (including operator) </t>
  </si>
  <si>
    <t xml:space="preserve">Loader/Shovel (6020B, 15.7CY capacity) </t>
  </si>
  <si>
    <t xml:space="preserve">Hauler (777D, 77CY capacity) </t>
  </si>
  <si>
    <t>Dozer (D8T)</t>
  </si>
  <si>
    <t>Water Truck</t>
  </si>
  <si>
    <t xml:space="preserve">Loader/Shovel (980) </t>
  </si>
  <si>
    <t xml:space="preserve">Hauler (740) </t>
  </si>
  <si>
    <t>Soil Hauling Equipment Production Calculations</t>
  </si>
  <si>
    <t>TSF - Topsoil</t>
  </si>
  <si>
    <t xml:space="preserve">LF </t>
  </si>
  <si>
    <t xml:space="preserve">Cat 740 Loaded Speed </t>
  </si>
  <si>
    <t>Cat 740 Unloaded Speed</t>
  </si>
  <si>
    <t>Total Cycle Time (Cat 740 Truck)</t>
  </si>
  <si>
    <t>Hauler Capacity (Cat 740 Truck)</t>
  </si>
  <si>
    <t>Loader Capacity (980)</t>
  </si>
  <si>
    <t>NOTES AND DETAILED CALCULATIONS:</t>
  </si>
  <si>
    <t>Ripping- Select Disturbance Areas, Stockpile Footprints, Roads</t>
  </si>
  <si>
    <t>Roads (post-1974) Length in miles</t>
  </si>
  <si>
    <t>Assume 20-100 ft width (avg 60)</t>
  </si>
  <si>
    <t>Roads (post-1974) Length in feet</t>
  </si>
  <si>
    <t>Rip rap channel needed</t>
  </si>
  <si>
    <t>Embank Crest Roads (post-1974) Length in miles</t>
  </si>
  <si>
    <t>Assume 50 ft width</t>
  </si>
  <si>
    <t>Embank Crest Roads (post-1974) Length in feet</t>
  </si>
  <si>
    <t>Flat, rip rap channel not needed</t>
  </si>
  <si>
    <t>RECONTOURING - REGRADING</t>
  </si>
  <si>
    <t>Backfill and Shape TSF Beach Settlement:</t>
  </si>
  <si>
    <t>RDS Regrading:</t>
  </si>
  <si>
    <t>Height of RDS (FT)</t>
  </si>
  <si>
    <t>Estimated from topography in 2023 Rec Plan Map</t>
  </si>
  <si>
    <t>Crest Length of RDS (FT)</t>
  </si>
  <si>
    <t>Estimated from aerial imagery</t>
  </si>
  <si>
    <t>Cut, fill, and rehandle volume per foot of crest (LCY/FT)</t>
  </si>
  <si>
    <t>Total cut, fill, and rehandle volume is (LCY)</t>
  </si>
  <si>
    <t>Volume of Material (LCY)</t>
  </si>
  <si>
    <t>Contour Interval</t>
  </si>
  <si>
    <t>Bench Height</t>
  </si>
  <si>
    <t>East Side Crest Length</t>
  </si>
  <si>
    <t>West Side Crest Length</t>
  </si>
  <si>
    <t>East Side Volume (cut &amp; fill AOR to 3H:1V slope)</t>
  </si>
  <si>
    <t>West Side Volume (cut &amp; fill AOR to 2.7H:1V slope)</t>
  </si>
  <si>
    <t>Regraded</t>
  </si>
  <si>
    <t>Total</t>
  </si>
  <si>
    <t>The total cut, fill, and rehandle volume (LCY)</t>
  </si>
  <si>
    <t>TSF Embankments- Regrading</t>
  </si>
  <si>
    <t>The grading calculations only apply to the slopes which occur within OP 00030A</t>
  </si>
  <si>
    <t>See 2025 Site Plan Map for permit boundaries and the defined boundaries for each embankment limb</t>
  </si>
  <si>
    <t>see below</t>
  </si>
  <si>
    <t>West Embank</t>
  </si>
  <si>
    <t>Task 1</t>
  </si>
  <si>
    <t>Task 2</t>
  </si>
  <si>
    <t>Task 3</t>
  </si>
  <si>
    <t>N-S  Embank D/S</t>
  </si>
  <si>
    <t>N-S  Embank U/S</t>
  </si>
  <si>
    <t>E-W Embank D/S</t>
  </si>
  <si>
    <t>E-W Embank U/S</t>
  </si>
  <si>
    <t>West Embank D/S</t>
  </si>
  <si>
    <t>West Embank U/S</t>
  </si>
  <si>
    <t>Crest length (length of Slope Reduction) in Post-1974 Areas (FT)</t>
  </si>
  <si>
    <t>Resloping N/A</t>
  </si>
  <si>
    <t>The cut, fill, and rehandle volume per foot of crest length from AOR(LCY/FT)</t>
  </si>
  <si>
    <t>(Ref Exhibit 3)</t>
  </si>
  <si>
    <t>The total cut, fill, and rehandle volume is (LCY)</t>
  </si>
  <si>
    <t>"Pittsmont hauling adjusted to account for removing 204,000 bcyds of rock from the dump (to allow Central Zone removal and adjacent road)"</t>
  </si>
  <si>
    <t>Costs to include- mine, load, haul, dump</t>
  </si>
  <si>
    <t>BCY</t>
  </si>
  <si>
    <t>MR estimates 30% swell factor</t>
  </si>
  <si>
    <t>Haul &amp; Spread Alluvium</t>
  </si>
  <si>
    <t>Slope</t>
  </si>
  <si>
    <t>Alluvium without soil (inches)</t>
  </si>
  <si>
    <t>Alluvium, with 6" topsoil (inches)</t>
  </si>
  <si>
    <t>&lt; 5%</t>
  </si>
  <si>
    <t xml:space="preserve">≥ 5 % </t>
  </si>
  <si>
    <t>ROADS AND MISC (POST-1974 AREAS)</t>
  </si>
  <si>
    <t>Cont Pit Benches</t>
  </si>
  <si>
    <t>SUM ALL</t>
  </si>
  <si>
    <t>Areas to receive alluvium cover (AC)</t>
  </si>
  <si>
    <t>Thickness of alluvium cover (IN)</t>
  </si>
  <si>
    <t>Volume of alluvium (LCY)</t>
  </si>
  <si>
    <t>Density of alluvium (LBS/LCY)</t>
  </si>
  <si>
    <t>Weight of alluvium (TONS)</t>
  </si>
  <si>
    <t>Haul distance at 4% grade (FT)</t>
  </si>
  <si>
    <t>2023 REC PLAN ACRES:</t>
  </si>
  <si>
    <t>Under Misc? Unclear</t>
  </si>
  <si>
    <t>Does not separate pre-1974 areas</t>
  </si>
  <si>
    <t>2023 REC PLAN VOLUME:</t>
  </si>
  <si>
    <t>RDS (POST-1974 AREAS)</t>
  </si>
  <si>
    <t>slope corrected</t>
  </si>
  <si>
    <t>Leach Pad Slopes</t>
  </si>
  <si>
    <t>Leach Pad Tops</t>
  </si>
  <si>
    <t>Access Top*</t>
  </si>
  <si>
    <t>Access Slope</t>
  </si>
  <si>
    <t>Nalley Valley Top</t>
  </si>
  <si>
    <t>Nalley Valley Slope</t>
  </si>
  <si>
    <t>S Cont. Pit Top</t>
  </si>
  <si>
    <t>S Cont. Pit Slope</t>
  </si>
  <si>
    <t>Pittsmont Top</t>
  </si>
  <si>
    <t>Pittsmont Slope</t>
  </si>
  <si>
    <t>East Dump Tops</t>
  </si>
  <si>
    <t>East Dump Slopes</t>
  </si>
  <si>
    <t>NA- Under Leach Pad</t>
  </si>
  <si>
    <t>All pre-1974 area</t>
  </si>
  <si>
    <t>Added to left</t>
  </si>
  <si>
    <t>ALL RDS+ LEACH</t>
  </si>
  <si>
    <t>Does not separate pre-1974 acres/volumes</t>
  </si>
  <si>
    <t>TSF (POST-1974 AREAS)</t>
  </si>
  <si>
    <t>Only material placement- no regrade on West Embank downstream</t>
  </si>
  <si>
    <t>N-S  Embank</t>
  </si>
  <si>
    <t>E-W Embank</t>
  </si>
  <si>
    <t>Variable TSF Slopes:</t>
  </si>
  <si>
    <t>Acreage</t>
  </si>
  <si>
    <t>Alluv Thick (Inches)</t>
  </si>
  <si>
    <t>Alluv Volume (LCY)</t>
  </si>
  <si>
    <t>Soil Thick (Inches)</t>
  </si>
  <si>
    <t>Soil Volume (LCY)</t>
  </si>
  <si>
    <t>2H:1V Slope Area (Corrected for slope)</t>
  </si>
  <si>
    <t>2.5H:1V Slope Area (Corrected for slope)</t>
  </si>
  <si>
    <t>2.7H:1V Slope Downstream Area (Corrected for slope)</t>
  </si>
  <si>
    <t>2.7H:1V Slope Upstream Area (Corrected for slope)</t>
  </si>
  <si>
    <t>3H:1V Slope Area (Corrected for slope)</t>
  </si>
  <si>
    <t>Crest Area (Not corrected for slope)</t>
  </si>
  <si>
    <t>23.1 acres of this will get 6 inch soil</t>
  </si>
  <si>
    <t>TSF Beach at Closure</t>
  </si>
  <si>
    <t>TSF Beach Transition Zone</t>
  </si>
  <si>
    <t>Total Beach Area (post-1974)</t>
  </si>
  <si>
    <t>Areas to receive alluvium cover (AC) - 28 Inches</t>
  </si>
  <si>
    <t>Areas to receive alluvium cover (AC) - 22 Inches**</t>
  </si>
  <si>
    <t>5 year increments</t>
  </si>
  <si>
    <t>Areas to receive soil cover (AC) - 6 Inches**</t>
  </si>
  <si>
    <t>Thickness of soil cover (IN)</t>
  </si>
  <si>
    <t>Density of soil (LBS/LCY)</t>
  </si>
  <si>
    <t>Weight of soil (TONS)</t>
  </si>
  <si>
    <t>Haul distance at 4% grade (FT) for West Soil</t>
  </si>
  <si>
    <t xml:space="preserve">**Assume half of the topsoil area (731 ac / 2 = 366 ac) is split in OP 00030 (pre-1974) &amp; 30A (post-1974).  </t>
  </si>
  <si>
    <t>7920 ft from soil stockpiles to West Embank</t>
  </si>
  <si>
    <t>Soil</t>
  </si>
  <si>
    <t>All YDTI (NON BEACH)</t>
  </si>
  <si>
    <t>BONDED</t>
  </si>
  <si>
    <t>TOTAL ALLUVIUM NEEDED (LCY)</t>
  </si>
  <si>
    <t>2023 REC PLAN, INCLUDES PRE-1974 AREAS</t>
  </si>
  <si>
    <t>TOTAL SOIL NEEDED (LCY)</t>
  </si>
  <si>
    <t>TOTAL AREA COVERED (AC)</t>
  </si>
  <si>
    <t>Haul &amp; Spread Alluvium Per 5 Year Period- TRANSITION ZONE</t>
  </si>
  <si>
    <t>Area to be incrementally reclaimed (Post-1974)</t>
  </si>
  <si>
    <t>YDTI North Transition Zone (AC)</t>
  </si>
  <si>
    <t>Reseeding only</t>
  </si>
  <si>
    <t>YDTI Tailings Transition Zone (AC)</t>
  </si>
  <si>
    <t>Potential grading on small areas (10%?)- soil and reseeding</t>
  </si>
  <si>
    <t>Timeframe</t>
  </si>
  <si>
    <t>Total Reclaimed Beach Area</t>
  </si>
  <si>
    <t>Reclaimable Tailings Transition Zone</t>
  </si>
  <si>
    <t>Reclaimable North Trans Zone</t>
  </si>
  <si>
    <t>Closure</t>
  </si>
  <si>
    <t>Equilibrium</t>
  </si>
  <si>
    <t>Post Closure Acreage</t>
  </si>
  <si>
    <t>Area of Transition zone to get alluvium during POST CLOSURE(AC)</t>
  </si>
  <si>
    <t>(Central Zone Alluvium)</t>
  </si>
  <si>
    <t>COSTS FOR PLACING MATERIAL ON TRANSITION FOR NEXT 30 YEARS- SEE LONG-TERM TAB</t>
  </si>
  <si>
    <t>Total Alluvium Volume Needed (LCY)</t>
  </si>
  <si>
    <t>Total Alluvium Volume in CZABA (LCY)</t>
  </si>
  <si>
    <t xml:space="preserve">Unknown- assume that 25% additional material is excavated and tested, but found to be unsuitable </t>
  </si>
  <si>
    <t>Total Alluvium Volume to be Tested (LCY)</t>
  </si>
  <si>
    <t>Total Alluvium Unsuitable- Haul to RDS (LCY)</t>
  </si>
  <si>
    <t>Updated from Energy Labs- 9/3/2025</t>
  </si>
  <si>
    <t>Analyses</t>
  </si>
  <si>
    <t>Sample Frequency (per LCY)</t>
  </si>
  <si>
    <t>Total Number of Samples</t>
  </si>
  <si>
    <t>Cost per Parameter</t>
  </si>
  <si>
    <t>Cost for Samples</t>
  </si>
  <si>
    <t>Paste pH</t>
  </si>
  <si>
    <t>Coarse Fragments</t>
  </si>
  <si>
    <t>Copper</t>
  </si>
  <si>
    <t>Total Metals ICP Scan</t>
  </si>
  <si>
    <t>Acid Base Accounting (AGP + ANP for lime supplement)</t>
  </si>
  <si>
    <t>Shipping ($10/each)</t>
  </si>
  <si>
    <t>Sample disposal fee ($3/each)</t>
  </si>
  <si>
    <t>TOTALS</t>
  </si>
  <si>
    <t>Estimate for Full Time Soil Scientist</t>
  </si>
  <si>
    <t>Soil Scientist Hourly Rate ($/HR) w/ truck</t>
  </si>
  <si>
    <t>Number of Hours (HR)</t>
  </si>
  <si>
    <t>ASSUMED TO BE 25% OF JOB HOURS</t>
  </si>
  <si>
    <t xml:space="preserve">Total Cost of Soils Scientist </t>
  </si>
  <si>
    <t>Field Work for Soil Monitoring</t>
  </si>
  <si>
    <t>Rate</t>
  </si>
  <si>
    <t>Cost</t>
  </si>
  <si>
    <t>Project Manager</t>
  </si>
  <si>
    <t>Staff Scientist/Sr. Field Tech</t>
  </si>
  <si>
    <t>Field Technician</t>
  </si>
  <si>
    <t>Assume 3 months (12 weeks) total for sampling</t>
  </si>
  <si>
    <t>Admin Support</t>
  </si>
  <si>
    <t>Supplies</t>
  </si>
  <si>
    <t>Subtotal Per Event</t>
  </si>
  <si>
    <t>Total Field Work Costs ($/YEAR)</t>
  </si>
  <si>
    <t>Data Compilation- Report Preparation</t>
  </si>
  <si>
    <t>Map/GIS/Drafting</t>
  </si>
  <si>
    <t>Total Reporting Costs ($/YEAR)</t>
  </si>
  <si>
    <t>FROM TABLE RP-10-3</t>
  </si>
  <si>
    <t>ACRES PER SAMPLE</t>
  </si>
  <si>
    <t>Alluvium</t>
  </si>
  <si>
    <t>Topsoil</t>
  </si>
  <si>
    <t>Central Zone</t>
  </si>
  <si>
    <t>Stockpile</t>
  </si>
  <si>
    <t>Continental Pit</t>
  </si>
  <si>
    <t>Direct Haul</t>
  </si>
  <si>
    <t>Parameter</t>
  </si>
  <si>
    <t>Known Good Quality</t>
  </si>
  <si>
    <t>Lesser Quality or Unknown</t>
  </si>
  <si>
    <t>pH</t>
  </si>
  <si>
    <t>Organic Matter</t>
  </si>
  <si>
    <t>Cu, Zn</t>
  </si>
  <si>
    <t>Total metals</t>
  </si>
  <si>
    <t>ABA</t>
  </si>
  <si>
    <t>N, P, K</t>
  </si>
  <si>
    <t>Coarse Frag Content</t>
  </si>
  <si>
    <t>Texture</t>
  </si>
  <si>
    <t>Total sulfur</t>
  </si>
  <si>
    <t>Areas With Upper Topsoil Layer (AC)</t>
  </si>
  <si>
    <t>Areas With Upper Alluvium Layer (AC)</t>
  </si>
  <si>
    <t>Total alluvium area minus the area where soil will be on top (tested above)</t>
  </si>
  <si>
    <t>Assume 50% of respread material is known good quality, 50% is unknown quality or source</t>
  </si>
  <si>
    <t>NUMBER OF SAMPLES</t>
  </si>
  <si>
    <t>Included in total Alluvium Area</t>
  </si>
  <si>
    <t>RESPREAD SOIL MONITORING- TOTAL COSTS</t>
  </si>
  <si>
    <t>Hillcrest Soil Hot Spots</t>
  </si>
  <si>
    <t>Area of lower Hillcrest Dump (ft2)</t>
  </si>
  <si>
    <t>Measured from map:</t>
  </si>
  <si>
    <t>Area of lower Hillcrest Dump (AC)</t>
  </si>
  <si>
    <t>Area of Hillcrest Hot Spots (AC)</t>
  </si>
  <si>
    <t>Assume 20%- Visual estimate from map, sampled hot spots are circled in red</t>
  </si>
  <si>
    <t>Average lime application rate (ton/AC)</t>
  </si>
  <si>
    <t>Lime applied (ton)</t>
  </si>
  <si>
    <t>Unit cost for hydrated lime ($/ton)- delivered</t>
  </si>
  <si>
    <t>Cost for hydrated lime for hot spots</t>
  </si>
  <si>
    <t>Construct Surface Water Collection Ditches + Rip Rap Protection</t>
  </si>
  <si>
    <t>Improve Upper Clearwater Ditch</t>
  </si>
  <si>
    <t>Type and Location</t>
  </si>
  <si>
    <t>Revegetation Cost</t>
  </si>
  <si>
    <t>Other Cost</t>
  </si>
  <si>
    <t>SEEDING &amp; WEED CONTROL</t>
  </si>
  <si>
    <t>TSF: N-S Embankment- Alluvium Area</t>
  </si>
  <si>
    <t>Excludes crest road, embankment road, former riprap area</t>
  </si>
  <si>
    <t>TSF: E-W Embankment- Alluvium Area</t>
  </si>
  <si>
    <t>Other tasks/costs previously released, not for revegetation</t>
  </si>
  <si>
    <t>Includes footprint of RDS removal for CZABA?</t>
  </si>
  <si>
    <t>Roads- Areas to be Reclaimed</t>
  </si>
  <si>
    <t>Assumes 50% of road areas reclaimed (width cut in half); 50% of that area needs slope correction (1.052)</t>
  </si>
  <si>
    <t>Post-mining features would be managed by BMFOU parties, additional weed control not applied to those areas</t>
  </si>
  <si>
    <t xml:space="preserve">Revegetation &amp; Weed Control </t>
  </si>
  <si>
    <t> </t>
  </si>
  <si>
    <t>Standard Revegetation Costs</t>
  </si>
  <si>
    <t>Native Seed Mix w/ Moderate Site Prep</t>
  </si>
  <si>
    <t>/ac</t>
  </si>
  <si>
    <t>*Based on 2025 NRCS Average Seeding Costs</t>
  </si>
  <si>
    <t>Itemized Revegetation Costs</t>
  </si>
  <si>
    <t>Condition Seedbed Surface (till, disk, scarify, etc)</t>
  </si>
  <si>
    <t>*Based on 2024 MDT Average Contract Price</t>
  </si>
  <si>
    <t xml:space="preserve">Seed (typical $250/ac, update per reclamation plan) </t>
  </si>
  <si>
    <t>*2025 Great Basin Seed Company Prices</t>
  </si>
  <si>
    <t>Seed Application</t>
  </si>
  <si>
    <t xml:space="preserve">Drill Seeding (3:1 slope, or less) </t>
  </si>
  <si>
    <t>*2024 MDT Average Contract Price</t>
  </si>
  <si>
    <t xml:space="preserve">Drill Seeding (steeper than 3:1) </t>
  </si>
  <si>
    <t xml:space="preserve">Broadcast Seeding Application (hand or tractor) </t>
  </si>
  <si>
    <t>Fertilizing Area</t>
  </si>
  <si>
    <t>Reapplication/Fill in Seeding</t>
  </si>
  <si>
    <t>*Assumes 25% reseeding/fill in broadcast seeding</t>
  </si>
  <si>
    <t>BMPs</t>
  </si>
  <si>
    <t xml:space="preserve">Erosion Control Blanket </t>
  </si>
  <si>
    <t>/sy</t>
  </si>
  <si>
    <t>Straw Wattle</t>
  </si>
  <si>
    <t>/ft</t>
  </si>
  <si>
    <t>*RS Means 312514160600 (biodegradeable log)</t>
  </si>
  <si>
    <t>Silt Fence</t>
  </si>
  <si>
    <t>*RS Means 312514161000</t>
  </si>
  <si>
    <t xml:space="preserve">Standard Weed Control (5 year revegetation period) </t>
  </si>
  <si>
    <t>*Based on 2025 MT Noxious Weed Control Costs</t>
  </si>
  <si>
    <t>Vegetation/Reclamation Monitoring, Data Compilation, Reporting</t>
  </si>
  <si>
    <t>Field Work Per Monitoring Event</t>
  </si>
  <si>
    <t>Field Technician (2)</t>
  </si>
  <si>
    <t>Assume 2 weeks (80 hours) for 2 staff</t>
  </si>
  <si>
    <t>Total Year Field Work Costs ($/YEAR)</t>
  </si>
  <si>
    <t>Field Technician(2)</t>
  </si>
  <si>
    <t>Total Year Reporting Costs ($/YEAR)</t>
  </si>
  <si>
    <t>Monitoring Event, Data Compilation, and Reporting</t>
  </si>
  <si>
    <t>EACH ANNUAL EVENT</t>
  </si>
  <si>
    <t>Unit Cost</t>
  </si>
  <si>
    <t xml:space="preserve">OTHER RECLAMATION COST </t>
  </si>
  <si>
    <t>DRILL HOLE AND WELL ABANDONMENT</t>
  </si>
  <si>
    <t>West Ridge Monitoring Wells</t>
  </si>
  <si>
    <t>Total Estimated Well Footage</t>
  </si>
  <si>
    <t xml:space="preserve">Plug and abandon drill holes (Explo, now under OP) </t>
  </si>
  <si>
    <t>MR25-001 E East- Dewatering Wells</t>
  </si>
  <si>
    <t>Pump Removal &amp; Disposal</t>
  </si>
  <si>
    <t>/well</t>
  </si>
  <si>
    <t xml:space="preserve">1/2 - 5 HP Pump, 2023 RS Means 02 41 13 76 0300 </t>
  </si>
  <si>
    <t>Sitewide Drilling (Pending Annual Reporting)</t>
  </si>
  <si>
    <t>TSF SPILLWAY CONSTRUCTION</t>
  </si>
  <si>
    <t>TSF Spillway at Closure</t>
  </si>
  <si>
    <t>See calculations and notes below</t>
  </si>
  <si>
    <t>Detail design TBD-- would extend from TSF embankment to flowpath toward Continental Pit</t>
  </si>
  <si>
    <t>Purchase TerraMac</t>
  </si>
  <si>
    <t>TSF + WATER MONITORING, MANAGEMENT, TREATMENT, AND MAINTENANCE</t>
  </si>
  <si>
    <t>Maintain/replace piezometers + related networks</t>
  </si>
  <si>
    <t>TSF monitoring and inspections (beach, embankments, pond, transition zone, etc.)</t>
  </si>
  <si>
    <t>Engineer of Record and Independent Review Panel Inspections + Review</t>
  </si>
  <si>
    <t>In Situ lime treatment for TSF Pond, based on modeling for Amend 010</t>
  </si>
  <si>
    <t>OTHER RECLAMATION COSTS</t>
  </si>
  <si>
    <t>Well Decommissioning</t>
  </si>
  <si>
    <t>Well Abandonment Cost (shallow geotech wells)</t>
  </si>
  <si>
    <t>2025 RS Means 02 41 13 76 0600</t>
  </si>
  <si>
    <t>Well Abandonment Cost (up to 8"dia)</t>
  </si>
  <si>
    <t>2025 RS Means 02 41 13 76 1000</t>
  </si>
  <si>
    <t>Well Abandonment Cost (above 10" dia)</t>
  </si>
  <si>
    <t>2025 RS Means 02 41 13 76 0700</t>
  </si>
  <si>
    <t>Water Well Pump Removal (up to 5hp)</t>
  </si>
  <si>
    <t>2025 RS Means 02 41 13 76 0300</t>
  </si>
  <si>
    <t>Hourly Rate</t>
  </si>
  <si>
    <t>Annual Salary</t>
  </si>
  <si>
    <t>1 - Site Manager</t>
  </si>
  <si>
    <t>1 - Site Engineer</t>
  </si>
  <si>
    <t>2 - Site Security Officers</t>
  </si>
  <si>
    <t>1 - Administrative Aide</t>
  </si>
  <si>
    <t>2 - Laborer (surface)</t>
  </si>
  <si>
    <t>1 - Mechanic</t>
  </si>
  <si>
    <t>Total Personnel</t>
  </si>
  <si>
    <t>The staffing schedule for the interim period would be as follows:</t>
  </si>
  <si>
    <t>Interim Period (YR)</t>
  </si>
  <si>
    <t>Total Site A&amp;E Management Cost</t>
  </si>
  <si>
    <t>1/2 - Site Manager</t>
  </si>
  <si>
    <t>Staff Subtotal</t>
  </si>
  <si>
    <t>Other costs include:</t>
  </si>
  <si>
    <t>Total Annual Costs</t>
  </si>
  <si>
    <t>4 - Site Pickup Trucks (including fuel &amp; maintenance) ($/YR)</t>
  </si>
  <si>
    <t>Electrical Cost per Year ($/YR)</t>
  </si>
  <si>
    <t>Site Maintenance Supplies</t>
  </si>
  <si>
    <t>Office Space, Operating Supplies &amp; Misc</t>
  </si>
  <si>
    <t>Total Annual Cost ($/YR)</t>
  </si>
  <si>
    <t>Interim Site Management, Total Cost</t>
  </si>
  <si>
    <t>Annual Time (YR)</t>
  </si>
  <si>
    <t>West Ridge Monitoring Wells (taken from Exploration License #00711 bond calculation)</t>
  </si>
  <si>
    <t>Well Name</t>
  </si>
  <si>
    <t>Depth (ft)</t>
  </si>
  <si>
    <t>MW 12-11</t>
  </si>
  <si>
    <t>MW 12-12</t>
  </si>
  <si>
    <t>MW 12-13</t>
  </si>
  <si>
    <t>MW 12-14</t>
  </si>
  <si>
    <t>MW 12-15</t>
  </si>
  <si>
    <t>MW 12-16</t>
  </si>
  <si>
    <t>MW 12-17</t>
  </si>
  <si>
    <t>MW 12-18</t>
  </si>
  <si>
    <t>MW 15-01</t>
  </si>
  <si>
    <t>MW 15-02</t>
  </si>
  <si>
    <t>MW 15-03</t>
  </si>
  <si>
    <t>MW 15-04</t>
  </si>
  <si>
    <t>MW 15-05</t>
  </si>
  <si>
    <t>MW 15-06</t>
  </si>
  <si>
    <t>MW 15-07</t>
  </si>
  <si>
    <t>MW 15-08</t>
  </si>
  <si>
    <t>MW 15-09</t>
  </si>
  <si>
    <t>MW 15-10</t>
  </si>
  <si>
    <t>MW 15-11</t>
  </si>
  <si>
    <t>MW 15-12</t>
  </si>
  <si>
    <t>MW 15-13</t>
  </si>
  <si>
    <t>MW 16-01</t>
  </si>
  <si>
    <t>MW 16-02D</t>
  </si>
  <si>
    <t>MW 16-02S</t>
  </si>
  <si>
    <t>E East Drilling and Dewatering Program-- Sitewide Drilling Program (all in Revision 25-001)</t>
  </si>
  <si>
    <t>Invert Elevation (ft)</t>
  </si>
  <si>
    <t>From conceptual design</t>
  </si>
  <si>
    <t>Max Discharge (CFS)</t>
  </si>
  <si>
    <t>Base Width (ft)</t>
  </si>
  <si>
    <t>Flow Depth (ft)</t>
  </si>
  <si>
    <t>Minimum Grad (%)</t>
  </si>
  <si>
    <t>Cut Slope into Rampart Mountain</t>
  </si>
  <si>
    <t>1H:0.58V</t>
  </si>
  <si>
    <t>Cut Slope into Fill</t>
  </si>
  <si>
    <t>1H:1.35V</t>
  </si>
  <si>
    <t>Spillway Channel Length (ft)</t>
  </si>
  <si>
    <t>Total Spillway Cut Volume (BCY)</t>
  </si>
  <si>
    <t>Total Spillway Cut Volume (LCY)</t>
  </si>
  <si>
    <t>Armored Swale Length (ft)</t>
  </si>
  <si>
    <t>Unarmored Swale Length (ft)</t>
  </si>
  <si>
    <t>Total Rip Rap Volume (LCY)</t>
  </si>
  <si>
    <t>Approx. 55 ft^3 riprap per foot length of armored swale</t>
  </si>
  <si>
    <t>Haul Distance to N-S Embankment (miles)</t>
  </si>
  <si>
    <t>Rock Swell Factor</t>
  </si>
  <si>
    <t>Rip Rap Cost</t>
  </si>
  <si>
    <t>Rip Rap Unit Rate ($/LCY)</t>
  </si>
  <si>
    <t>Total Rip Rap Cost</t>
  </si>
  <si>
    <t>Drill and Blast</t>
  </si>
  <si>
    <t>Drill and Blast Unit Rate ($/BCY)</t>
  </si>
  <si>
    <t>Total Drill and Blast Cost</t>
  </si>
  <si>
    <t>Swale Grading Cost</t>
  </si>
  <si>
    <t>Total Swale Length (ft)</t>
  </si>
  <si>
    <t>Production Rate (l.c.y/hr)</t>
  </si>
  <si>
    <t>Production Rate (max)</t>
  </si>
  <si>
    <t xml:space="preserve"> lcy/hr</t>
  </si>
  <si>
    <t>Derating Factors (rock type, operator, grade)</t>
  </si>
  <si>
    <t>Correction Factors</t>
  </si>
  <si>
    <t>Availability</t>
  </si>
  <si>
    <t>Average Operator, Loose stockpile, 50 mins/hr efficiency</t>
  </si>
  <si>
    <t>Corrected Production Factor</t>
  </si>
  <si>
    <t>Volume of Swale (ft3)</t>
  </si>
  <si>
    <t>Volume of Swale (l.c.y.)</t>
  </si>
  <si>
    <t>D6 Dozer</t>
  </si>
  <si>
    <t>Hours of Work (h)</t>
  </si>
  <si>
    <t>Labor</t>
  </si>
  <si>
    <t>D6 Dozer Unit Cost ($/hr)</t>
  </si>
  <si>
    <t>Assumptions:</t>
  </si>
  <si>
    <t>Soil Density of 2300 lb per l.c.y</t>
  </si>
  <si>
    <t>Power-shift machines with 0.05-min fixed time</t>
  </si>
  <si>
    <t>Using D6M-6SU Dozer (Line G)</t>
  </si>
  <si>
    <t>Hauler Cycle Time (Min.)</t>
  </si>
  <si>
    <t>References: http://nheri.ucsd.edu/facilities/docs/Performance_Handbook_416C.pdf</t>
  </si>
  <si>
    <t>Haul 10,560 feet One Way, Total Resistance 10%</t>
  </si>
  <si>
    <t>Cat Edition 45 p.1-21 Cat 753C Haul Truck Rimpull-Speed-Gradeability Curve Loaded Speed (MPH)</t>
  </si>
  <si>
    <t>Cat Edition 45 p.1-21 Cat 735C Haul Truck Rimpull-Speed-Gradeability Curve Empty Speed (MPH)</t>
  </si>
  <si>
    <t>Load with Exchange</t>
  </si>
  <si>
    <t>Estimated time for loading alluvium was 2.45. This is a much smaller excavator but calc needs to be completed.</t>
  </si>
  <si>
    <t>Haul</t>
  </si>
  <si>
    <t>Return</t>
  </si>
  <si>
    <t>Potential Cycle Time</t>
  </si>
  <si>
    <t>Wait on Slow Hauler</t>
  </si>
  <si>
    <t>Wait to Load, Bunching AVG</t>
  </si>
  <si>
    <t>Bunching Calc</t>
  </si>
  <si>
    <t># of Trucks (Hauler Capabilities)</t>
  </si>
  <si>
    <t>Total Cycle Time</t>
  </si>
  <si>
    <t>Cycles per Hour</t>
  </si>
  <si>
    <t>CAT 735C Heaped Capacity (LCY)</t>
  </si>
  <si>
    <t>Hauler Potential Production (LCY/HR)</t>
  </si>
  <si>
    <t>385C Passes per Hauler</t>
  </si>
  <si>
    <t>390F capacity</t>
  </si>
  <si>
    <t>Loader Cycle Time (Min.)</t>
  </si>
  <si>
    <t>Load Time Truck (Min.)</t>
  </si>
  <si>
    <t>Number of Trucks Required</t>
  </si>
  <si>
    <t>Production Rate (LCY/Min.)</t>
  </si>
  <si>
    <t>Hourly Production (LCY/Hr)</t>
  </si>
  <si>
    <t>Efficiency Factor</t>
  </si>
  <si>
    <t>Adjusted Hourly Production (LCY/Hr)</t>
  </si>
  <si>
    <t>Hours Required (Hr)</t>
  </si>
  <si>
    <t>Qty</t>
  </si>
  <si>
    <t>Model</t>
  </si>
  <si>
    <t>Hourly Cost Each</t>
  </si>
  <si>
    <t>Operating Hours</t>
  </si>
  <si>
    <t>$ Total</t>
  </si>
  <si>
    <t>Loaders:</t>
  </si>
  <si>
    <t xml:space="preserve">Only one loader required for the basic task of loading the hauler. One additional loader used for ripping surface prior to loading. </t>
  </si>
  <si>
    <t>Haulers:</t>
  </si>
  <si>
    <t>735C</t>
  </si>
  <si>
    <t>Support:</t>
  </si>
  <si>
    <t>D6T</t>
  </si>
  <si>
    <t>Fleet Totals</t>
  </si>
  <si>
    <t>Construct Spillway at Closure TOTAL</t>
  </si>
  <si>
    <t>Reseeding only - not tailings surface, but native soil in current forest</t>
  </si>
  <si>
    <t>Terramac Purchase</t>
  </si>
  <si>
    <t>MR quote (2020) to purchase a new Terramac from Tri State Truck &amp; Equipment - Update would be helpful</t>
  </si>
  <si>
    <t>Terramac Operation</t>
  </si>
  <si>
    <t>Area to be covered in first 5 years (AC)</t>
  </si>
  <si>
    <t>Initial beach footprint, prior to capping.</t>
  </si>
  <si>
    <t>Hourly application rate (AC/hr)</t>
  </si>
  <si>
    <t>Estimated - updated values from MR would be helpful</t>
  </si>
  <si>
    <t>Job Hours</t>
  </si>
  <si>
    <t xml:space="preserve"> Assume each area receives application at least once prior to soil capping</t>
  </si>
  <si>
    <t>Hourly Cost (Labor)</t>
  </si>
  <si>
    <t>Assumes 1 equipment operator and 1 general labor</t>
  </si>
  <si>
    <t>Hourly Cost (Equipment)</t>
  </si>
  <si>
    <t>Terramac Total Operation Cost ($)</t>
  </si>
  <si>
    <t>Magnesium Chloride Application</t>
  </si>
  <si>
    <t>Initial beach footprint, prior to capping. Assume full area receives application once prior to soil capping</t>
  </si>
  <si>
    <t>Coverage Rate (gallons/acre)</t>
  </si>
  <si>
    <t>Stillwater County quote from Dustbusters Inc. (Billings MT) = 0.5 gallon/yd^2; 1 acre = 4840 yd^2</t>
  </si>
  <si>
    <t>Magnesium Chloride Volume (gallon)</t>
  </si>
  <si>
    <t>Assume 0.5 gallon/yd^2</t>
  </si>
  <si>
    <t>Magnesium Chloride Cost ($/gallon)</t>
  </si>
  <si>
    <t>Magnesium Chloride Total Cost ($)</t>
  </si>
  <si>
    <t>Dust Control for Years 1-5, Total Cost ($)</t>
  </si>
  <si>
    <t>Inspection/Monitoring Requirement</t>
  </si>
  <si>
    <t>Frequency</t>
  </si>
  <si>
    <t>Cost Per Event</t>
  </si>
  <si>
    <t>Cost Per Year</t>
  </si>
  <si>
    <t>Notes</t>
  </si>
  <si>
    <t>Capped Surfaces (Embankment and Beach):</t>
  </si>
  <si>
    <t>Inspect for cracking, slumping/deformation, erosion, slope failure, and any other changes in the embankment shape and tailings surface. Inspect the upstream slope, downstream slope and embankment crest.</t>
  </si>
  <si>
    <t>Quarterly</t>
  </si>
  <si>
    <t>Sr. Field Tech/Scientist + Field Techs- 8 hours per event</t>
  </si>
  <si>
    <t>Inspect for daylighting seeps on the downstream embankment slope/benches, water pooling/ponding, soft/wet areas</t>
  </si>
  <si>
    <t>Monthly</t>
  </si>
  <si>
    <t>Field tech- 8 hours per event</t>
  </si>
  <si>
    <t>Inspect beach surface for dusting risk/potential</t>
  </si>
  <si>
    <t>Measure water levels in the monitoring wells and piezometers</t>
  </si>
  <si>
    <t>Field tech- 16 hours per event</t>
  </si>
  <si>
    <t>Survey reclaimed beach for slope/settlement</t>
  </si>
  <si>
    <t>Annually</t>
  </si>
  <si>
    <t>Sr. Field Tech/Scientist + 2 Field Techs- 40 hours per event</t>
  </si>
  <si>
    <t>Survey vegetation for plant establishment, cover, die-off, and noxious weeds</t>
  </si>
  <si>
    <t>See Revegetation Tab</t>
  </si>
  <si>
    <t>Pond and Transition Zone:</t>
  </si>
  <si>
    <t>Measure pond water level</t>
  </si>
  <si>
    <t>Field tech- 4 hours per event</t>
  </si>
  <si>
    <t>Evaluate pond water storage volume</t>
  </si>
  <si>
    <t>Survey vegetation for plant establishment, cover, die-off, and noxious weeds2</t>
  </si>
  <si>
    <t>Spillway:</t>
  </si>
  <si>
    <t>Inspect spillway intake, channel base and side slopes for erosion, blockage, damage, slope failure, and any other changes in the shape and surface of the spillway.</t>
  </si>
  <si>
    <t>Quarterly and after large storm events</t>
  </si>
  <si>
    <t>HsB Seepage Collection System:</t>
  </si>
  <si>
    <t>Record the HsB Weir flowrate.</t>
  </si>
  <si>
    <t>Will be managed as part of the BMFOU remedy.</t>
  </si>
  <si>
    <t>Record the Seep 10 flowrate.</t>
  </si>
  <si>
    <t>Site-Wide Water Management:</t>
  </si>
  <si>
    <t>Inspect surface drainage ditches and culverts for erosion, blockage, damage.</t>
  </si>
  <si>
    <t>Sr. Field Tech/Scientist + Field Techs- 8 hours per event. Will also be managed as part of the BMFOU remedy.</t>
  </si>
  <si>
    <t>West Embankment Drain:</t>
  </si>
  <si>
    <t>TBD</t>
  </si>
  <si>
    <t>TSF Monitoring and Inspection- Total Costs Per Year</t>
  </si>
  <si>
    <t>Monitoring and Field Work Rates</t>
  </si>
  <si>
    <t>Labor Rate</t>
  </si>
  <si>
    <t>Engineer of Record and Independent Review Panel- Inspections and Review</t>
  </si>
  <si>
    <t>Assume 80 hours for annual inspection, review, and reporting-- EOR hourly rate not known</t>
  </si>
  <si>
    <t>Independent Review Panel- Periodic Review</t>
  </si>
  <si>
    <t>At least every 5 years</t>
  </si>
  <si>
    <t>Assume 80 hours for each panel member inspection, review, and reporting-- IRP hourly rate not known</t>
  </si>
  <si>
    <t>every 5 years</t>
  </si>
  <si>
    <t>Lime applied (ton/year)</t>
  </si>
  <si>
    <t>Cost for hydrated lime for in situ water treatment, per year</t>
  </si>
  <si>
    <t>Purchase/installation of lime slurry application and mixing system</t>
  </si>
  <si>
    <t>Initial purchase cost</t>
  </si>
  <si>
    <t>Annual O&amp;M</t>
  </si>
  <si>
    <t>Water Quality Monitoring</t>
  </si>
  <si>
    <t>Analytical Costs</t>
  </si>
  <si>
    <t>Updated Quote from Energy Labs- 9/3/2025</t>
  </si>
  <si>
    <t>Groundwater aites (24) will be monitored twice per year</t>
  </si>
  <si>
    <t>Acidity</t>
  </si>
  <si>
    <t>Surface water sites (12) will be monitored twice per year, as presented in current Annual Progress Reports</t>
  </si>
  <si>
    <t>Alkalinity</t>
  </si>
  <si>
    <t>Sampling Frequency (Times/Year)</t>
  </si>
  <si>
    <t>Anions</t>
  </si>
  <si>
    <t>Number of Sites (EA)</t>
  </si>
  <si>
    <t>Conductivity</t>
  </si>
  <si>
    <t>Number of Samples per Year (Samples/Year)</t>
  </si>
  <si>
    <t>Estimated Cost per Sample ($/EA)</t>
  </si>
  <si>
    <t>Total Dissolved Solids</t>
  </si>
  <si>
    <t>Total Year Analytical Costs ($/YEAR)</t>
  </si>
  <si>
    <t>Total Suspended Solids</t>
  </si>
  <si>
    <t>Mercury</t>
  </si>
  <si>
    <t>Metals by ICP/ICPMS</t>
  </si>
  <si>
    <t>Metals Digestion</t>
  </si>
  <si>
    <t>Nitrate + Nitrite</t>
  </si>
  <si>
    <t>Phosphorous, total</t>
  </si>
  <si>
    <t>Sample disposal fee</t>
  </si>
  <si>
    <t>Field Work Per Sampling Event</t>
  </si>
  <si>
    <t>Sample Shipping Cost ($/Event)</t>
  </si>
  <si>
    <t>Two sampling events per year</t>
  </si>
  <si>
    <t>Report Preparation - Annual Report</t>
  </si>
  <si>
    <t>One annual report per year</t>
  </si>
  <si>
    <t>CAD/Drafting</t>
  </si>
  <si>
    <t>Water Quality Monitoring, Data Compilation, and Reporting- Total Costs</t>
  </si>
  <si>
    <t>EACH YEAR</t>
  </si>
  <si>
    <t>Task 5- Long-Term Activities</t>
  </si>
  <si>
    <t>Post Closure Management</t>
  </si>
  <si>
    <t>A third party A&amp;E firm would be hired to implement the post closure reclamation plan</t>
  </si>
  <si>
    <t xml:space="preserve"> 1- Site Security Officers</t>
  </si>
  <si>
    <t>1 - Laborer (surface)</t>
  </si>
  <si>
    <t>1 - Site Security Officers</t>
  </si>
  <si>
    <t>Total 25 Years A&amp;E Other Costs</t>
  </si>
  <si>
    <t>2 - Site Pickup Trucks (including fuel &amp; maintenance) ($/YR)</t>
  </si>
  <si>
    <t>Heavy Equipment Rental</t>
  </si>
  <si>
    <t>Post-closure electrical costs are assumed to include office space and equipment, lighting/security around the facility, any hard-wired monitoring systems</t>
  </si>
  <si>
    <t>Post Closure Management, Total Cost</t>
  </si>
  <si>
    <t>Area to be covered every 5 years (AC)</t>
  </si>
  <si>
    <t>Exposed transition zone is the only accessible tailings surface that has not been capped, could produce dust</t>
  </si>
  <si>
    <t>MONTANA - Prevailing Wage Rates for Heavy Construction Services 2025</t>
  </si>
  <si>
    <t xml:space="preserve"> 2024 rates (no rates issued for 2025)  </t>
  </si>
  <si>
    <t>*Effective: January 13, 2025</t>
  </si>
  <si>
    <t>Title</t>
  </si>
  <si>
    <t xml:space="preserve"> Wage </t>
  </si>
  <si>
    <t xml:space="preserve"> Benefit </t>
  </si>
  <si>
    <t xml:space="preserve"> Total </t>
  </si>
  <si>
    <t xml:space="preserve"> Travel 1 </t>
  </si>
  <si>
    <t xml:space="preserve"> Travel 2 </t>
  </si>
  <si>
    <t xml:space="preserve"> Travel 3 </t>
  </si>
  <si>
    <t>Boilermakers</t>
  </si>
  <si>
    <t>Steam Boilers, Boiler House, Pressure Vessels</t>
  </si>
  <si>
    <t xml:space="preserve"> $                           -  </t>
  </si>
  <si>
    <t xml:space="preserve"> 0 - 120 mi </t>
  </si>
  <si>
    <t xml:space="preserve"> (Fed. Mileage) </t>
  </si>
  <si>
    <t xml:space="preserve"> 120 mi + </t>
  </si>
  <si>
    <t>Brick, Block and Stone Masons</t>
  </si>
  <si>
    <t xml:space="preserve"> 0 - 70 mi </t>
  </si>
  <si>
    <t xml:space="preserve"> $60/day </t>
  </si>
  <si>
    <t xml:space="preserve"> 70 - 90 mi </t>
  </si>
  <si>
    <t xml:space="preserve"> $80/day </t>
  </si>
  <si>
    <t xml:space="preserve"> 90 mi + </t>
  </si>
  <si>
    <t>Carpenters</t>
  </si>
  <si>
    <t xml:space="preserve"> 0 - 30 mi </t>
  </si>
  <si>
    <t xml:space="preserve"> 30 - 60 mi </t>
  </si>
  <si>
    <t>60 mi +</t>
  </si>
  <si>
    <t>Cement Masons and Concrete Finishers</t>
  </si>
  <si>
    <t>Construction Equipment Operators, Group 1</t>
  </si>
  <si>
    <t>Hand tools, Grinder, Truck Crane, Forklift</t>
  </si>
  <si>
    <t>Construction Equipment Operators, Group 2</t>
  </si>
  <si>
    <t>Backhoe/Excavator/Shovel up to 3cy, Trencher</t>
  </si>
  <si>
    <t>Construction Equipment Operators, Group 3</t>
  </si>
  <si>
    <t>Paving, Backhoe/Excavator/Shovel over 3cy, Cranes (&lt;24T), Scraper</t>
  </si>
  <si>
    <t>Construction Equipment Operators, Group 4</t>
  </si>
  <si>
    <t>Asphalt/Hot Plant Op, Crane (25-44T), Finish Scraper</t>
  </si>
  <si>
    <t>Construction Equipment Operators, Group 5</t>
  </si>
  <si>
    <t>Cranes (45-74T)</t>
  </si>
  <si>
    <t>Construction Equipment Operators, Group 6</t>
  </si>
  <si>
    <t>Cranes (75-149T), Whirley</t>
  </si>
  <si>
    <t>Construction Equipment Operators, Group 7</t>
  </si>
  <si>
    <t>Cranes (150-250T), Cranes (250T +, add $1/100T)</t>
  </si>
  <si>
    <t>Construction Laborers Group 1, Flag Person for Traffic Control</t>
  </si>
  <si>
    <t>Construction Laborers Group 2</t>
  </si>
  <si>
    <t>General Labor, Cement, Landscaper, Riprapper</t>
  </si>
  <si>
    <t>Construction Laborers Group 3</t>
  </si>
  <si>
    <t>Concrete Vibrator, Jackhammer, Rollers, Pipelayer</t>
  </si>
  <si>
    <t>Construction Laborers Group 4</t>
  </si>
  <si>
    <t>Water Well Laborer, Blaster, Cutting Torch, Power Saw</t>
  </si>
  <si>
    <t>Diver Tender</t>
  </si>
  <si>
    <t>2 hours pay per shift for dressing/undressing Diver in hyperbaric conditions</t>
  </si>
  <si>
    <t>Divers, Stand-By</t>
  </si>
  <si>
    <t>Divers, Diving</t>
  </si>
  <si>
    <t>*See Prevailing Rates for Dive Depth Rates</t>
  </si>
  <si>
    <t>Electricians</t>
  </si>
  <si>
    <t>*No Mileage due when traveling in employer's vehicle</t>
  </si>
  <si>
    <t xml:space="preserve"> 0-18 mi </t>
  </si>
  <si>
    <t xml:space="preserve"> 18 - 60 mi </t>
  </si>
  <si>
    <t xml:space="preserve"> $75/day </t>
  </si>
  <si>
    <t>Insulations Workers - Mechanical (Heat &amp; Frost)</t>
  </si>
  <si>
    <t>*See Prevailing Rates for Travel over 50mi</t>
  </si>
  <si>
    <t xml:space="preserve"> $25/day </t>
  </si>
  <si>
    <t xml:space="preserve"> 30 - 40 mi </t>
  </si>
  <si>
    <t xml:space="preserve"> $35/day </t>
  </si>
  <si>
    <t>40 - 50 mi</t>
  </si>
  <si>
    <t>Ironworkers - Reinforcing Iron and Rebar Workers</t>
  </si>
  <si>
    <t>*See Prevailing Rates for Travel over 100mi</t>
  </si>
  <si>
    <t xml:space="preserve"> 0 - 45 mi </t>
  </si>
  <si>
    <t xml:space="preserve"> $50/day </t>
  </si>
  <si>
    <t xml:space="preserve"> 45 - 60 mi </t>
  </si>
  <si>
    <t>60 - 100 mi</t>
  </si>
  <si>
    <t>Ironworkers - Structural Iron and Steel Workers</t>
  </si>
  <si>
    <t>Line Construction - Equipment Operators</t>
  </si>
  <si>
    <t>All work on Substations</t>
  </si>
  <si>
    <t xml:space="preserve"> All  </t>
  </si>
  <si>
    <t>Line Construction - Groundman</t>
  </si>
  <si>
    <t>Line Construction - Lineman</t>
  </si>
  <si>
    <t>Millwrights</t>
  </si>
  <si>
    <t>Painters</t>
  </si>
  <si>
    <t>Pile Bucks</t>
  </si>
  <si>
    <t>Set up crane/hammer, Cut piles to grade, direct crane</t>
  </si>
  <si>
    <t>Plumbers, Pipefitters and Steamfitters</t>
  </si>
  <si>
    <t>Assemble, install, alter, repair pipe/pipe systems</t>
  </si>
  <si>
    <t xml:space="preserve"> $0.55/mi or $110/day </t>
  </si>
  <si>
    <t xml:space="preserve"> 70 mi+ </t>
  </si>
  <si>
    <t>Sprinker Fitters</t>
  </si>
  <si>
    <t>All fire protection system work. *See Prevailing Rates for travel rates</t>
  </si>
  <si>
    <t>Truck Drivers</t>
  </si>
  <si>
    <t>Third Party Construction Management Cost Reconciliation</t>
  </si>
  <si>
    <r>
      <t>Category</t>
    </r>
    <r>
      <rPr>
        <vertAlign val="superscript"/>
        <sz val="11"/>
        <rFont val="Calibri"/>
        <family val="2"/>
        <scheme val="minor"/>
      </rPr>
      <t>1</t>
    </r>
  </si>
  <si>
    <t>Project Engineer</t>
  </si>
  <si>
    <t>Water Treatment Plant Operator/Field Engineer</t>
  </si>
  <si>
    <t>Clerical and Administration</t>
  </si>
  <si>
    <t>Mechanic</t>
  </si>
  <si>
    <t>Laborers</t>
  </si>
  <si>
    <t>Security Personnel</t>
  </si>
  <si>
    <t>Footnotes:</t>
  </si>
  <si>
    <t>1.  GSA Federal Supply Contractor Price List (2013-2014)</t>
  </si>
  <si>
    <t>2.  Eliminate high and low rates, average the balance</t>
  </si>
  <si>
    <t xml:space="preserve">Care &amp; Maintenance &amp; Water Quality Sampling Oversight Team_3rd Party A&amp;E </t>
  </si>
  <si>
    <t>Hourly Rate ($/hr)</t>
  </si>
  <si>
    <t>Annual Salary ($/yr)</t>
  </si>
  <si>
    <t>Water Treatment Plant Operator</t>
  </si>
  <si>
    <t>Equipment Rates 2025 Costmine</t>
  </si>
  <si>
    <t>Fuel Consumption (Cat Handbook Vol.49 - 2019)</t>
  </si>
  <si>
    <t>EQUIPMENT ID</t>
  </si>
  <si>
    <t>SUBTYPE</t>
  </si>
  <si>
    <t>SIZE CLASS</t>
  </si>
  <si>
    <t>COMPARABLE MODEL</t>
  </si>
  <si>
    <t xml:space="preserve"> DEQ Costmine </t>
  </si>
  <si>
    <t>LOW</t>
  </si>
  <si>
    <t>MEDIUM</t>
  </si>
  <si>
    <t>HIGH</t>
  </si>
  <si>
    <t>(U.S. gal/hr)</t>
  </si>
  <si>
    <t>DOZERS</t>
  </si>
  <si>
    <t>104 HP Dozer</t>
  </si>
  <si>
    <t>9.6 ft Blade Width</t>
  </si>
  <si>
    <t>Cat D3K</t>
  </si>
  <si>
    <t>D3K LGP</t>
  </si>
  <si>
    <t>205 HP Dozer</t>
  </si>
  <si>
    <t>10.7 ft Blade Width</t>
  </si>
  <si>
    <t>Cat D5N</t>
  </si>
  <si>
    <t>D5N LGP</t>
  </si>
  <si>
    <t>215 HP Dozer</t>
  </si>
  <si>
    <t>13.4 ft Blade Width</t>
  </si>
  <si>
    <t>Cat D6T</t>
  </si>
  <si>
    <t>D6T LGP</t>
  </si>
  <si>
    <t>265 HP Dozer</t>
  </si>
  <si>
    <t>12.1 ft Blade Width</t>
  </si>
  <si>
    <t>Cat D7R</t>
  </si>
  <si>
    <t>D7R DS LGP SERIES II</t>
  </si>
  <si>
    <t>350 HP Dozer</t>
  </si>
  <si>
    <t>13.0 ft Blade Width</t>
  </si>
  <si>
    <t>Cat D8T</t>
  </si>
  <si>
    <t>D8T</t>
  </si>
  <si>
    <t>600 HP Dozer</t>
  </si>
  <si>
    <t>16.2 ft Blade Width</t>
  </si>
  <si>
    <t>Cat D10T</t>
  </si>
  <si>
    <t>D10T2</t>
  </si>
  <si>
    <t>850 HP Dozer</t>
  </si>
  <si>
    <t>21.0 ft Blade Width</t>
  </si>
  <si>
    <t>Cat D11T</t>
  </si>
  <si>
    <t>D11T</t>
  </si>
  <si>
    <t>EXCAVATORS</t>
  </si>
  <si>
    <t>98 hp Backhoe</t>
  </si>
  <si>
    <t>0.44 CY Bucket, 18.0 ft Digging Depth</t>
  </si>
  <si>
    <t>12.1 - 14.0 MTons</t>
  </si>
  <si>
    <t>311F LRR / Cat 430</t>
  </si>
  <si>
    <t>166 hp Backhoe</t>
  </si>
  <si>
    <t>1.2 CY Bucket, 22.1 ft Digging Depth</t>
  </si>
  <si>
    <t>21.1 - 24.0 MTons</t>
  </si>
  <si>
    <t>320F L</t>
  </si>
  <si>
    <t>177 hp Backhoe</t>
  </si>
  <si>
    <t>2.1 CY Bucket, 21.5 ft Digging Depth</t>
  </si>
  <si>
    <t>24.1 - 28.0 MTons</t>
  </si>
  <si>
    <t>324E L</t>
  </si>
  <si>
    <t>367 hp Backhoe</t>
  </si>
  <si>
    <t>2.98 CY Bucket, 24.4 ft Digging Depth</t>
  </si>
  <si>
    <t>33.1 - 40.0 MTons</t>
  </si>
  <si>
    <t>336F L</t>
  </si>
  <si>
    <t>463 hp Backhoe</t>
  </si>
  <si>
    <t>3.3 CY Bucket, 28.2 ft Digging Depth</t>
  </si>
  <si>
    <t>66.1 - 90.0 MTons</t>
  </si>
  <si>
    <t>365C L</t>
  </si>
  <si>
    <t>523 hp Backhoe</t>
  </si>
  <si>
    <t>4.7 - 7.3 CY Bucket, 35.7 ft Digging Depth</t>
  </si>
  <si>
    <t>374F</t>
  </si>
  <si>
    <t>LOADERS</t>
  </si>
  <si>
    <t>74 hp Skidsteer</t>
  </si>
  <si>
    <t>2,900 lb Capacity</t>
  </si>
  <si>
    <t>1751 - 2200 lbs</t>
  </si>
  <si>
    <t>246D</t>
  </si>
  <si>
    <t xml:space="preserve">74 HP Loader </t>
  </si>
  <si>
    <t>1.2 CY Bucket</t>
  </si>
  <si>
    <t>70 - 79 HP</t>
  </si>
  <si>
    <t>906M</t>
  </si>
  <si>
    <t>1.4 CY Bucket</t>
  </si>
  <si>
    <t>908M</t>
  </si>
  <si>
    <t>210 HP Loader</t>
  </si>
  <si>
    <t>4.2 CY Bucket</t>
  </si>
  <si>
    <t>175 - 199 HP</t>
  </si>
  <si>
    <t>938M</t>
  </si>
  <si>
    <t>250 HP Loader</t>
  </si>
  <si>
    <t>4.25 CY Bucket</t>
  </si>
  <si>
    <t>950M</t>
  </si>
  <si>
    <t>417 HP Loader</t>
  </si>
  <si>
    <t>7.5 CY Bucket</t>
  </si>
  <si>
    <t>275 - 349 HP</t>
  </si>
  <si>
    <t>980M</t>
  </si>
  <si>
    <t>536 HP Loader</t>
  </si>
  <si>
    <t>9.0 CY Bucket</t>
  </si>
  <si>
    <t>350 - 499 HP</t>
  </si>
  <si>
    <t>988K</t>
  </si>
  <si>
    <t>699 HP Loader</t>
  </si>
  <si>
    <t>11.2 CY Bucket</t>
  </si>
  <si>
    <t>500 - 999 HP</t>
  </si>
  <si>
    <t>990K</t>
  </si>
  <si>
    <t>2300 HP Loader</t>
  </si>
  <si>
    <t>53 CY Bucket</t>
  </si>
  <si>
    <t>1000 HP &amp; Over</t>
  </si>
  <si>
    <t>L2350</t>
  </si>
  <si>
    <t>SCRAPERS</t>
  </si>
  <si>
    <t>407 HP Scraper</t>
  </si>
  <si>
    <t>Single Engine, Elevating, 23 CY, 27.6 st Capacity</t>
  </si>
  <si>
    <t>18 &amp; Under 30CY</t>
  </si>
  <si>
    <t>623G</t>
  </si>
  <si>
    <t>Tandam, 24 CY, 28.8 st Capacity</t>
  </si>
  <si>
    <t>Under 18CY</t>
  </si>
  <si>
    <t>627G P-P</t>
  </si>
  <si>
    <t>462 HP Scraper</t>
  </si>
  <si>
    <t>Tandam, 31 CY, 37.0 st Capacity</t>
  </si>
  <si>
    <t>18CY &amp; Over</t>
  </si>
  <si>
    <t>631K</t>
  </si>
  <si>
    <t>564 HP Scraper</t>
  </si>
  <si>
    <t>Tandam, 44 CY, 52.0 st Capacity</t>
  </si>
  <si>
    <t>637G</t>
  </si>
  <si>
    <t>SHOVELS</t>
  </si>
  <si>
    <t>760 HP Shovel</t>
  </si>
  <si>
    <t>8.5 CY Bucket</t>
  </si>
  <si>
    <t>90.1 - 150.0 MTons</t>
  </si>
  <si>
    <t>EX1200-6</t>
  </si>
  <si>
    <t>3000 HP Shovel</t>
  </si>
  <si>
    <t>38.0 CY Bucket</t>
  </si>
  <si>
    <t>400.1 MTons &amp; Over</t>
  </si>
  <si>
    <t>PC5500-6</t>
  </si>
  <si>
    <t>1000 HP Shovel</t>
  </si>
  <si>
    <t>15.7 CY Bucket</t>
  </si>
  <si>
    <t>6040B</t>
  </si>
  <si>
    <t>Verify</t>
  </si>
  <si>
    <t>TRACK LOADER</t>
  </si>
  <si>
    <t>155 HP Track Loader</t>
  </si>
  <si>
    <t>2.4 CY Bucket</t>
  </si>
  <si>
    <t>130 - 189 HP</t>
  </si>
  <si>
    <t>953K</t>
  </si>
  <si>
    <t>194 HP Track Loader</t>
  </si>
  <si>
    <t>3.2 CY Bucket</t>
  </si>
  <si>
    <t>963K</t>
  </si>
  <si>
    <t>275 HP Track Loader</t>
  </si>
  <si>
    <t>190 HP &amp; Over</t>
  </si>
  <si>
    <t>973K</t>
  </si>
  <si>
    <t>OFF-HIGHWAY ARTICULATED REAR DUMP</t>
  </si>
  <si>
    <t>321 HP Articulated Rear Dump</t>
  </si>
  <si>
    <t>26.5 st / 19.6 CY</t>
  </si>
  <si>
    <t>20 - 25 MTons</t>
  </si>
  <si>
    <t>725C</t>
  </si>
  <si>
    <t>345 HP Articulated Rear Dump</t>
  </si>
  <si>
    <t>31.0 st / 22.9 CY</t>
  </si>
  <si>
    <t>26 - 29 MTons</t>
  </si>
  <si>
    <t>730C</t>
  </si>
  <si>
    <t>455 HP Articulated Rear Dump</t>
  </si>
  <si>
    <t>41.0 st / 30.0 CY</t>
  </si>
  <si>
    <t>35 MTons &amp; Over</t>
  </si>
  <si>
    <t>740B</t>
  </si>
  <si>
    <t>OFF-HIGHWAY REAR DUMP</t>
  </si>
  <si>
    <t>42.1 ST Rear Dump, Rigid</t>
  </si>
  <si>
    <t>508 HP</t>
  </si>
  <si>
    <t>30 - 39 MTons</t>
  </si>
  <si>
    <t>770G</t>
  </si>
  <si>
    <t>51.6 ST Rear Dump, Rigid</t>
  </si>
  <si>
    <t>550 HP</t>
  </si>
  <si>
    <t>40 - 54 MTons</t>
  </si>
  <si>
    <t>772G</t>
  </si>
  <si>
    <t>60 ST Rear Dump, Rigid</t>
  </si>
  <si>
    <t>775 HP</t>
  </si>
  <si>
    <t>773G</t>
  </si>
  <si>
    <t>70 ST Rear Dump, Rigid</t>
  </si>
  <si>
    <t>760 HP</t>
  </si>
  <si>
    <t>55 - 74 MTons</t>
  </si>
  <si>
    <t>775G</t>
  </si>
  <si>
    <t>101.6 ST Rear Dump, Rigid</t>
  </si>
  <si>
    <t>1200 HP</t>
  </si>
  <si>
    <t>90 - 104 MTons</t>
  </si>
  <si>
    <t>777G</t>
  </si>
  <si>
    <t xml:space="preserve">238 ST Rear Dump, Rigid, Elec. </t>
  </si>
  <si>
    <t>2500 HP</t>
  </si>
  <si>
    <t>200 MTons &amp; Over</t>
  </si>
  <si>
    <t>830E</t>
  </si>
  <si>
    <t>205 ST Rear Dump, Rigid, Elec</t>
  </si>
  <si>
    <t>2000 HP</t>
  </si>
  <si>
    <t>169.5 - 199.4 Mtons</t>
  </si>
  <si>
    <t>730E</t>
  </si>
  <si>
    <t>ON-HIGHWAY REAR DUMP</t>
  </si>
  <si>
    <t>16-18 CY Highway Rear Dump</t>
  </si>
  <si>
    <t>16ft Dump Truck, Class 8</t>
  </si>
  <si>
    <t>60,001 GVW &amp; Over</t>
  </si>
  <si>
    <t>6X4 18YD 70KGVW</t>
  </si>
  <si>
    <t>20-22 CY Highway Rear Dump</t>
  </si>
  <si>
    <t>20ft Dump Truck, Class 8</t>
  </si>
  <si>
    <t>8X4 18YD 85KGVW</t>
  </si>
  <si>
    <t>7 CY Highway Rear Dump</t>
  </si>
  <si>
    <t>10ft Dump Truck, Class 7</t>
  </si>
  <si>
    <t>19,501 - 26,000 GVW</t>
  </si>
  <si>
    <t>4X2 6YD DSL</t>
  </si>
  <si>
    <t>LUBE TRUCK</t>
  </si>
  <si>
    <t>1000 gal Diesel/Lube Truck</t>
  </si>
  <si>
    <t>300 HP</t>
  </si>
  <si>
    <t>To 199 HP</t>
  </si>
  <si>
    <t>BB2 DSL 4X2 3000</t>
  </si>
  <si>
    <t>2000 gal Diesel/Lube Truck</t>
  </si>
  <si>
    <t>350 HP</t>
  </si>
  <si>
    <t>200 HP &amp; Over</t>
  </si>
  <si>
    <t>DSL 6X4 3500</t>
  </si>
  <si>
    <t>PICKUP TRUCKS</t>
  </si>
  <si>
    <t>Utility Truck, Tilting Flatbed Truck</t>
  </si>
  <si>
    <t>On-Highway Light Duty Trucks</t>
  </si>
  <si>
    <t>330 HP</t>
  </si>
  <si>
    <t>4X2 1/2 260 EXT DIESEL</t>
  </si>
  <si>
    <t>1 Ton, Crew Cab Pickup Truck</t>
  </si>
  <si>
    <t>470 HP</t>
  </si>
  <si>
    <t>4X2 1 195 CREW DSL</t>
  </si>
  <si>
    <t>3/4 Ton, Extra Cab Pickup Truck</t>
  </si>
  <si>
    <t>4X4 3/4 445 CONV DIESEL</t>
  </si>
  <si>
    <t>GRADERS</t>
  </si>
  <si>
    <t>12 ft AWD Grader</t>
  </si>
  <si>
    <t>Articulated Frame Graders</t>
  </si>
  <si>
    <t>225 HP</t>
  </si>
  <si>
    <t>120M</t>
  </si>
  <si>
    <t>12 ft Grader</t>
  </si>
  <si>
    <t>215 HP</t>
  </si>
  <si>
    <t>12M</t>
  </si>
  <si>
    <t>14 ft AWD Grader</t>
  </si>
  <si>
    <t>275 HP</t>
  </si>
  <si>
    <t>140M</t>
  </si>
  <si>
    <t>14 ft Grader</t>
  </si>
  <si>
    <t>255 HP</t>
  </si>
  <si>
    <t>14M</t>
  </si>
  <si>
    <t>16 ft AWD Grader</t>
  </si>
  <si>
    <t>160M</t>
  </si>
  <si>
    <t>16 ft Grader</t>
  </si>
  <si>
    <t>280HP</t>
  </si>
  <si>
    <t>16M</t>
  </si>
  <si>
    <t>FUEL TRUCK</t>
  </si>
  <si>
    <t>2,000 Gal Truck</t>
  </si>
  <si>
    <t>On-Highway Water Tankers</t>
  </si>
  <si>
    <t>270 HP</t>
  </si>
  <si>
    <t>DSL 4X2 3000</t>
  </si>
  <si>
    <t>4,000 Gal Truck</t>
  </si>
  <si>
    <t>250 HP</t>
  </si>
  <si>
    <t>COMPACTORS</t>
  </si>
  <si>
    <t>84" wide x 61" dia Padfoot Roller</t>
  </si>
  <si>
    <t>Self Propelled Pad Foot Compactors</t>
  </si>
  <si>
    <t>176 HP</t>
  </si>
  <si>
    <t>815K</t>
  </si>
  <si>
    <t>84" wide x 65" dia Smooth Roller</t>
  </si>
  <si>
    <t>Self Propelled Smooth Drum Compactors</t>
  </si>
  <si>
    <t>174 HP</t>
  </si>
  <si>
    <t>816F</t>
  </si>
  <si>
    <t>OFF-HIGHWAY WATER TANKER</t>
  </si>
  <si>
    <t>5,000 gal Water Truck</t>
  </si>
  <si>
    <t>Articulated Truck Chassis</t>
  </si>
  <si>
    <t>334 HP</t>
  </si>
  <si>
    <t>5000 150</t>
  </si>
  <si>
    <t>8,000 gal Water Truck</t>
  </si>
  <si>
    <t>439 HP</t>
  </si>
  <si>
    <t>7000 330</t>
  </si>
  <si>
    <t>ON-HIGHWAY WATER TANKER</t>
  </si>
  <si>
    <t>2,000 gal Water Truck</t>
  </si>
  <si>
    <t>On-Highway Water Tanker Trucks</t>
  </si>
  <si>
    <t>DSL 4X2 2500</t>
  </si>
  <si>
    <t>4,000 gal Water Truck</t>
  </si>
  <si>
    <t>ON-HIGHWAY FLATBED</t>
  </si>
  <si>
    <t>Class 5 Flatbed Truck</t>
  </si>
  <si>
    <t>On-Highway Flatbed Trucks</t>
  </si>
  <si>
    <t>16,001 - 19,500 lb</t>
  </si>
  <si>
    <t>4X2 15KGVW DSL</t>
  </si>
  <si>
    <t>Class 6 Flatbed Truck</t>
  </si>
  <si>
    <t>19,501 - 26,000 lb</t>
  </si>
  <si>
    <t>4X2 30KGVW DSL</t>
  </si>
  <si>
    <t>Class 7 Flatbed Truck</t>
  </si>
  <si>
    <t>26,001 - 33,000 lb</t>
  </si>
  <si>
    <t>6X4 45KGVW DSL</t>
  </si>
  <si>
    <t>ON-HIGHWAY TRACK TRACTOR</t>
  </si>
  <si>
    <t>24 ft Equipment Hauler Trailer</t>
  </si>
  <si>
    <t>On Highway Equipment Hauler Trailer</t>
  </si>
  <si>
    <t>12 ST capacity</t>
  </si>
  <si>
    <t>25 ft Equipment Hauler Trailer</t>
  </si>
  <si>
    <t>22.5 ST capacity</t>
  </si>
  <si>
    <t>30 ft Equipment Hauler Trailer</t>
  </si>
  <si>
    <t>31 ST capacity</t>
  </si>
  <si>
    <t>26 CY Rear Dump Hauler Trailer</t>
  </si>
  <si>
    <t>Requires 330 HP Tractor</t>
  </si>
  <si>
    <t>33 ST capacity</t>
  </si>
  <si>
    <t>32 CY Rear Dump Hauler Trailer</t>
  </si>
  <si>
    <t>Requires 450 HP Tractor</t>
  </si>
  <si>
    <t>40 ST capacity</t>
  </si>
  <si>
    <t>MISCELLANEOUS TRUCKS</t>
  </si>
  <si>
    <t>ANFO Loader Delivery Truck (11,264 lb capacity)</t>
  </si>
  <si>
    <t>380 HP</t>
  </si>
  <si>
    <t>Seeder - 77 lb Capacity ATV Mounted</t>
  </si>
  <si>
    <t>Seeder - 750 lb Capacity Tractor Mounted</t>
  </si>
  <si>
    <t>Trailer Mounted Seed Sprayers</t>
  </si>
  <si>
    <t>3 pt Hitch</t>
  </si>
  <si>
    <t>Seeder - 2,440 lb Capacity Tractor Mounted</t>
  </si>
  <si>
    <t>Seed Sprayers For Truck Mounting</t>
  </si>
  <si>
    <t>Power Mulcher/Chipper/Shredder</t>
  </si>
  <si>
    <t>Trailer Mounted Mulchers</t>
  </si>
  <si>
    <t>7" max diameter</t>
  </si>
  <si>
    <t>Impact Hammer / Breaker</t>
  </si>
  <si>
    <t>Telehandler - 42.3 ft Lift</t>
  </si>
  <si>
    <t>6,000 lb Capacity, 74 HP</t>
  </si>
  <si>
    <t>UNDERGROUND MINING - LHD's (Load-Haul-Dumps)</t>
  </si>
  <si>
    <t>2.5 CY LHD - Diesel</t>
  </si>
  <si>
    <t>130 HP</t>
  </si>
  <si>
    <t>5.9 CY LHD - Diesel</t>
  </si>
  <si>
    <t>Cat 1600 LHD</t>
  </si>
  <si>
    <t>8.4 CY LHD - Diesel</t>
  </si>
  <si>
    <t>335 HP</t>
  </si>
  <si>
    <t>10.3 CY LHD - Diesel</t>
  </si>
  <si>
    <t>472 HP</t>
  </si>
  <si>
    <t>UNDERGROUND MINING - ARTICULATED TRUCKS</t>
  </si>
  <si>
    <t>22 ton Rear Dump Articulated Truck</t>
  </si>
  <si>
    <t>46 ton Rear Dump Articulated Truck</t>
  </si>
  <si>
    <t>535 HP</t>
  </si>
  <si>
    <t>Project Management Fee</t>
  </si>
  <si>
    <t>Project size of site</t>
  </si>
  <si>
    <t>Percentage of Direct Costs</t>
  </si>
  <si>
    <t>Project managed by State Agency</t>
  </si>
  <si>
    <t>&lt; 90 Acres (including other facilities)</t>
  </si>
  <si>
    <t>Between 90-700 Acres</t>
  </si>
  <si>
    <t>&gt; 700 Acres</t>
  </si>
  <si>
    <t>On-site Disposal</t>
  </si>
  <si>
    <t>Load/Haul/Dump of Removed Pipe</t>
  </si>
  <si>
    <t>Excavator &amp; Dump Truck w/ operators</t>
  </si>
  <si>
    <t>hrs</t>
  </si>
  <si>
    <t>Assumes 25% of pipe removal time required for hauling pipe for disposal</t>
  </si>
  <si>
    <t>cf/day</t>
  </si>
  <si>
    <t>18" reinforced concrete (treat as thick footing)</t>
  </si>
  <si>
    <t xml:space="preserve">Hours Req'd for On-Site Disposal Equip. </t>
  </si>
  <si>
    <t>*Assumes RSMeans production rates</t>
  </si>
  <si>
    <t>Assumes RSMeans Production Rate for Demolition Tasks</t>
  </si>
  <si>
    <t>Load/Haul/Dump of Plant &amp; Equipment</t>
  </si>
  <si>
    <t xml:space="preserve">20-36" HDPE </t>
  </si>
  <si>
    <t>3/4 - 4" HDPE</t>
  </si>
  <si>
    <t>RDS Pittsmont Rock Removal</t>
  </si>
  <si>
    <t>Assumes 75% by volume for rock instead of soil</t>
  </si>
  <si>
    <t>988 Loader, 740 Truck, D8T Dozer</t>
  </si>
  <si>
    <t>TSF Transition Zone</t>
  </si>
  <si>
    <t>365 Excavator, 740 Truck</t>
  </si>
  <si>
    <t>Excavator/740 Truck</t>
  </si>
  <si>
    <t>Shovel/777 Truck</t>
  </si>
  <si>
    <t>6020B Shovel, 777 Truck</t>
  </si>
  <si>
    <t>*above row for full volume with Shovel/777 truck</t>
  </si>
  <si>
    <t>to RDS</t>
  </si>
  <si>
    <t xml:space="preserve">Non-Suitable Material (Load Haul Dump at RDS) </t>
  </si>
  <si>
    <t xml:space="preserve">Rip Rap Ditches (Machine placed for Slope Protection) </t>
  </si>
  <si>
    <t>cy</t>
  </si>
  <si>
    <t>2025 RSMeans 31 37 13 10 0100</t>
  </si>
  <si>
    <t xml:space="preserve">Rip Rap Roads (Machine placed for Slope Protection) </t>
  </si>
  <si>
    <t>Discount Rate (Earned Interest)</t>
  </si>
  <si>
    <t>Corrugated HDPE 24" Type S</t>
  </si>
  <si>
    <t xml:space="preserve">Storm Drainage Manhole (6'ID x 4' deep) </t>
  </si>
  <si>
    <t>2025 RSMeans 33 05 61 10 1190</t>
  </si>
  <si>
    <t>2025 RSMeans 33 42 11 50 1070</t>
  </si>
  <si>
    <t>qty</t>
  </si>
  <si>
    <t>Rip Rap- purchase and machine placed</t>
  </si>
  <si>
    <t>2025 RSMeans 31 25 14 16 0062</t>
  </si>
  <si>
    <t>3' wide x 6' deep trench</t>
  </si>
  <si>
    <t xml:space="preserve">12' x 12' x 8' deep </t>
  </si>
  <si>
    <t>2025 RSMeans 31 23 16 13 0110 &amp; 31 23 16 13 3020</t>
  </si>
  <si>
    <t>2025 RSMeans 31 23 16 13 0500 &amp; 31 23 16 13 3020</t>
  </si>
  <si>
    <t xml:space="preserve">DEQ Rates </t>
  </si>
  <si>
    <t>*GSA/SMC 2025 Bond Labor Rates</t>
  </si>
  <si>
    <t>Annual Site A&amp;E Management Cost</t>
  </si>
  <si>
    <t>YEAR 1 - INTERIM SITE MANAGEMENT</t>
  </si>
  <si>
    <t xml:space="preserve">Site Care &amp; Maintenance/Reclamation Management (3rd part representative for Agency) </t>
  </si>
  <si>
    <t>Maintain essential operations while DEQ gets the bond. Anticipated tasks to include dust control (other tasks/tabs), erosion control, weed control, site security, etc.</t>
  </si>
  <si>
    <t>Year 1 - Interim Site Management</t>
  </si>
  <si>
    <t xml:space="preserve">YEAR 2 - INITIAL RECLAMATION / CLOSURE SITE MANAGEMENT </t>
  </si>
  <si>
    <t>Site Administration &amp; Equipment</t>
  </si>
  <si>
    <t xml:space="preserve">YEAR 3 - INITIAL RECLAMATION / CLOSURE SITE MANAGEMENT </t>
  </si>
  <si>
    <t xml:space="preserve">YEAR 4 - INITIAL RECLAMATION / CLOSURE SITE MANAGEMENT </t>
  </si>
  <si>
    <t xml:space="preserve">YEAR 5 - INITIAL RECLAMATION / CLOSURE SITE MANAGEMENT </t>
  </si>
  <si>
    <t>Dust Control</t>
  </si>
  <si>
    <t>Dust Control  (Assumes first 5 year is split evenly over 5 years)</t>
  </si>
  <si>
    <t xml:space="preserve">Magnesium Chloride Application </t>
  </si>
  <si>
    <t>TSF + Water Monitoring, Management, Treatment and Maintenance</t>
  </si>
  <si>
    <t>*2025 Costmine Monthly lease Rate of 3/4T Crew Cab Truck = $980/mo</t>
  </si>
  <si>
    <t>2025 RSMeans 31 23 16 30 0250</t>
  </si>
  <si>
    <t>Revegetation Monitoring, compilation of data and reporting</t>
  </si>
  <si>
    <t>Independent Review Panel inspection &amp; Review</t>
  </si>
  <si>
    <t>Every 5 years, starting year 10</t>
  </si>
  <si>
    <t>Year 6</t>
  </si>
  <si>
    <t>Year 7</t>
  </si>
  <si>
    <t>Year 8</t>
  </si>
  <si>
    <t>Year 9</t>
  </si>
  <si>
    <t>Year 10</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</si>
  <si>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</si>
  <si>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</si>
  <si>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</si>
  <si>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</si>
  <si>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</si>
  <si>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</si>
  <si>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</si>
  <si>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</si>
  <si>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</si>
  <si>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</si>
  <si>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</si>
  <si>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</si>
  <si>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</si>
  <si>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</si>
  <si>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</si>
  <si>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</si>
  <si>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</si>
  <si>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</si>
  <si>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</si>
  <si>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</si>
  <si>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Includes Discount Rate @</t>
  </si>
  <si>
    <t xml:space="preserve">Years of Interest (n) </t>
  </si>
  <si>
    <t>Transition Zone Settlement - Recontouring/Regrading</t>
  </si>
  <si>
    <t>Assumes 10% of Area</t>
  </si>
  <si>
    <t>Transition Zone Alluvium Placement</t>
  </si>
  <si>
    <t>Seeding &amp; Weed Control</t>
  </si>
  <si>
    <t>Engineer of Record Inspection + Review</t>
  </si>
  <si>
    <t>Annual inspections by EOR</t>
  </si>
  <si>
    <t>Third Party Construction Management Cost Reconciliation is located under "Labor Rates"</t>
  </si>
  <si>
    <t>Closure Site Management, Total Annual Cost</t>
  </si>
  <si>
    <t>Vegetation/Reclamation Monitoring Event, Data Compilation, and Reporting</t>
  </si>
  <si>
    <t xml:space="preserve">Drill Hole and Well Abandonment Details </t>
  </si>
  <si>
    <t>Dust Control (Years 1-5)</t>
  </si>
  <si>
    <t>The 4 people would be needed to cover the mine site 24 hours a day, 7 days a week</t>
  </si>
  <si>
    <t>The 4 key people include:</t>
  </si>
  <si>
    <t>Assume that 4 employees would be needed to maintain the mine site and deal with environmental problems</t>
  </si>
  <si>
    <t>Assumes 100lf</t>
  </si>
  <si>
    <t>Davis Bacon Heavy Highway Construction Wage Rates, January 2025</t>
  </si>
  <si>
    <t>RS Means, Heavy Construction Cost Data, 2025 Q1</t>
  </si>
  <si>
    <t>E East Water Management (MR25-001)</t>
  </si>
  <si>
    <t>Potential grading on small areas (10%)- soil and reseeding</t>
  </si>
  <si>
    <t>D8T Dozer</t>
  </si>
  <si>
    <t>D10T Dozer</t>
  </si>
  <si>
    <t>Cat 320 Excavator</t>
  </si>
  <si>
    <t>Cat 365 Excavator</t>
  </si>
  <si>
    <t>Cat 720 Articulating Truck</t>
  </si>
  <si>
    <t>Cat 740 Articulating Truck</t>
  </si>
  <si>
    <t>Cat 950 Loader</t>
  </si>
  <si>
    <t>Cat 980 Loader</t>
  </si>
  <si>
    <t>6020B Shovel</t>
  </si>
  <si>
    <t>14M Grader</t>
  </si>
  <si>
    <t>740 Truck</t>
  </si>
  <si>
    <t>777 Truck</t>
  </si>
  <si>
    <t xml:space="preserve">10% area of the estimated beach area. Previous bond had lump sum $500k. </t>
  </si>
  <si>
    <t>Includes RDS face that will be exposed from relocating rock to S Cont Pit RDS</t>
  </si>
  <si>
    <t>RDS Access (includes slope and crest)</t>
  </si>
  <si>
    <t>RDS East (includes slope and crest)</t>
  </si>
  <si>
    <t>RDS Pittsmont (includes slope and crest)</t>
  </si>
  <si>
    <t>RDS South Continental Pit  (includes slope and crest)</t>
  </si>
  <si>
    <t>10% area of the exposed south transition zone (in Year 5)- not North Transitio Zone</t>
  </si>
  <si>
    <t>Assume placement in new stockpile near Transition Zone during the initial reclamation phase- then Long Term costs apply to moving material out of stockpile (not Central Zone haul)</t>
  </si>
  <si>
    <t>2020 bond assumed a Central Zone haul (17,500 ft) and testing campaign every 5 years (in NPV)</t>
  </si>
  <si>
    <t>LHD</t>
  </si>
  <si>
    <t>Load, Haul, Dump</t>
  </si>
  <si>
    <t>For 30 years</t>
  </si>
  <si>
    <t>Unsuitable material (assumed to be extra 25% of material excavated)- hauled to RDS S. Cont. Pit</t>
  </si>
  <si>
    <t>*Principal in Charge</t>
  </si>
  <si>
    <t>*Project Manager</t>
  </si>
  <si>
    <t>Labor Related Costs- Site Management and Monitoring Programs</t>
  </si>
  <si>
    <t>Total Alluvium Testing Costs</t>
  </si>
  <si>
    <t xml:space="preserve">TSF- Move Alluvium to create Transition Zone Stockpile for future (Load Haul Dump) </t>
  </si>
  <si>
    <t>Based on KP, 2020 estimates</t>
  </si>
  <si>
    <t>Non-suitable CZ Alluvium to S. Cont Pit RDS</t>
  </si>
  <si>
    <t>Check against areas removed for CZABA and pre-1974 areas?</t>
  </si>
  <si>
    <t>Taken from Explo License details and Amend 010</t>
  </si>
  <si>
    <t>Year 33</t>
  </si>
  <si>
    <t>Need 2 staff</t>
  </si>
  <si>
    <t>Site Inspection Reports (2020-2025)</t>
  </si>
  <si>
    <t>Site management, maintenance, and oversight during extended reclamation ("Post-Closure Period" years 6-33)</t>
  </si>
  <si>
    <t>Areas will be reclaimed over 28 years (33 total minus Years 1-5)</t>
  </si>
  <si>
    <t>Divide by 28 Years</t>
  </si>
  <si>
    <t>Every 5 years for 33 years</t>
  </si>
  <si>
    <t>TSF Transition Zone - Reclamation Begins in Year 5, After Exposure in Years 0-4</t>
  </si>
  <si>
    <t>Applied to Long Term (future) and not Years 0-5</t>
  </si>
  <si>
    <t>It is assumed the "Post Closure" period would begin five years after "Closure" begins (Year 6)</t>
  </si>
  <si>
    <t xml:space="preserve">These A&amp;E calculations apply to management and oversight for activities conducted from Years 6-33 (27 years) </t>
  </si>
  <si>
    <t>The staffing schedule for years 6-33 would be as follows:</t>
  </si>
  <si>
    <t>0-5</t>
  </si>
  <si>
    <t>5-10</t>
  </si>
  <si>
    <t>10-15</t>
  </si>
  <si>
    <t>Years</t>
  </si>
  <si>
    <t>15-20</t>
  </si>
  <si>
    <t>20-25</t>
  </si>
  <si>
    <t>25-30</t>
  </si>
  <si>
    <t>30-33</t>
  </si>
  <si>
    <t>Staffing Year 6-33</t>
  </si>
  <si>
    <t>Dust Control (Years 6-33)</t>
  </si>
  <si>
    <t>Dust Control, Every 5 Years (Years 6-33), Total Cost ($)</t>
  </si>
  <si>
    <t>Every 5 years (after Years 1-5)</t>
  </si>
  <si>
    <t>Year 31</t>
  </si>
  <si>
    <t>Year 32</t>
  </si>
  <si>
    <t>Assume Transition Zone total is split into increments</t>
  </si>
  <si>
    <t>Assume full area receives application once prior to soil capping</t>
  </si>
  <si>
    <t>Final year- last monitoring and verification for closure (All capped- no tailings dust control)</t>
  </si>
  <si>
    <t>2025 BOND CALC TAB</t>
  </si>
  <si>
    <t>Revegetation, Other, Long-Term</t>
  </si>
  <si>
    <t>Earthmoving, Other</t>
  </si>
  <si>
    <t>AREAS WITH PRE-1974 BONDING LEVEL ($500/acre)</t>
  </si>
  <si>
    <t>YEARS 6 - 33, ANNUAL TASKS, POST-CLOSURE</t>
  </si>
  <si>
    <t>YEARS 6 - 33, PERIODIC TASKS (EVERY 5 YEARS), POST-CLOSURE</t>
  </si>
  <si>
    <t>REVEGETATION - YEARS 1 - 5</t>
  </si>
  <si>
    <t>RDS North</t>
  </si>
  <si>
    <t>For LHD each time, every 5 years</t>
  </si>
  <si>
    <t xml:space="preserve">LONG-TERM RECLAMATION COSTS </t>
  </si>
  <si>
    <t xml:space="preserve">LONG-TERM CARE &amp; MAINTENANCE COSTS </t>
  </si>
  <si>
    <t>LONG-TERM RECLAMATION TASKS, POST-CLOSURE</t>
  </si>
  <si>
    <t>LONG-TERM CARE &amp; MAINTENANCE, POST-CLOSURE</t>
  </si>
  <si>
    <t xml:space="preserve">LONG-TERM CLOSURE RECLAMATION COST </t>
  </si>
  <si>
    <t>Does not include Dust Control (added above)</t>
  </si>
  <si>
    <t>Sitewide water quality monitoring, compilation of data and reporting</t>
  </si>
  <si>
    <t>2.5% - 10% of Inflated Direct Costs (line 18)</t>
  </si>
  <si>
    <t>Total Alluvium Volume (LCY)</t>
  </si>
  <si>
    <t>Water Truck - Site Dust Control/Reclamation fleet support</t>
  </si>
  <si>
    <t>*2025 Costmine Monthly lease rate of 14M Grader = $29,400/mo</t>
  </si>
  <si>
    <t>*2025 Costmine Monthly lease rate of 5,000 gal Water Truck = $6,680/mo</t>
  </si>
  <si>
    <t>*Includes annual lease of Water Truck for dust control/site reclamation fleet support</t>
  </si>
  <si>
    <t>Motor Grader (14H) - See Annual O&amp;M Cost</t>
  </si>
  <si>
    <t>Water Truck - See Annual O&amp;M Cost</t>
  </si>
  <si>
    <t>980 Loader, 740 Truck, D8T Dozer</t>
  </si>
  <si>
    <t>Feature- total volume of alluvium (LCY)</t>
  </si>
  <si>
    <t>Assumes 3 months</t>
  </si>
  <si>
    <t>Motor Grader (14M) - Site/Reclamation fleet support, roads</t>
  </si>
  <si>
    <t>Assumes 1 month</t>
  </si>
  <si>
    <t>Assumes 6 months</t>
  </si>
  <si>
    <t>Motor Grader (14M) - Road maintenance as needed</t>
  </si>
  <si>
    <t>*Assumes $1881/mo using Northwest Energy Rate Sheet (10/1/2025; GS-2). Updated estimate would be helpful</t>
  </si>
  <si>
    <t>sq ft</t>
  </si>
  <si>
    <t>miles</t>
  </si>
  <si>
    <t>*Assumes $1881/mo using Commercial Customer quote. Updated estimate would be helpful</t>
  </si>
  <si>
    <t>*Includes part time lease of Water Truck and Grader as site reclamation fleet support</t>
  </si>
  <si>
    <t>Staff for monitoring/oversight for construction activities and implementing Reclamation Plan (YEARS 2 - 5)</t>
  </si>
  <si>
    <t>Task 4- Other Reclamation Activities (Years 1-5)</t>
  </si>
  <si>
    <t>Task 5- Long-Term Reclamation Tasks (Years 6-33)</t>
  </si>
  <si>
    <t>Task Summary - full details copied at bottom of tab</t>
  </si>
  <si>
    <t>Pipeline- Removal and Disposal</t>
  </si>
  <si>
    <t>Years 2-5 Closure Reclamation Management</t>
  </si>
  <si>
    <t>Construct TSF Spillway at Closure</t>
  </si>
  <si>
    <t>Edited by DEQ for summary</t>
  </si>
  <si>
    <t>Updated cost provided by MR 11/13/2025</t>
  </si>
  <si>
    <t>Updated cost from MR on 11/30/2025</t>
  </si>
  <si>
    <t>Updated cost from MR on 11/13/2025</t>
  </si>
  <si>
    <t>Not needed for BMFOU; however, in Concentrator exclusion area</t>
  </si>
  <si>
    <t>Above ground power lines and substations owned by Northwestern Energy</t>
  </si>
  <si>
    <t>All stored in pre-1974 areas or exempt facility areas</t>
  </si>
  <si>
    <t>20-36" HDPE (would be $216,129)</t>
  </si>
  <si>
    <t>Estimated- updated depths from 2025 activities not yet available, consider potential for next 5 years</t>
  </si>
  <si>
    <t>Assume purchase, rather than long-term periodic leasing. Updated quote would be helpful</t>
  </si>
  <si>
    <t xml:space="preserve">Annual inspection by EOR </t>
  </si>
  <si>
    <t>MR Mag Chloride Quote: We Dust Control- 10/11/2025</t>
  </si>
  <si>
    <t>fuel charge</t>
  </si>
  <si>
    <t>Total Invoice</t>
  </si>
  <si>
    <t>tons for invoice</t>
  </si>
  <si>
    <t>Sales/Delivery Only- Liquid Magnesium Chloride</t>
  </si>
  <si>
    <t>Spec Grav (lb/gal)</t>
  </si>
  <si>
    <t>$/ton delivered</t>
  </si>
  <si>
    <t>$/ton for material</t>
  </si>
  <si>
    <t>$/gal delivered</t>
  </si>
  <si>
    <t>Disturbance Acreage Summary by Feature and Bond Area</t>
  </si>
  <si>
    <t>Post-July, 1 1974</t>
  </si>
  <si>
    <t>Pre-July, 1 1974</t>
  </si>
  <si>
    <t>BMFOU/Exempt/GMMIA</t>
  </si>
  <si>
    <t>Berkeley Pit (BMFOU)</t>
  </si>
  <si>
    <t>Concentrator Area (EXEMPT)</t>
  </si>
  <si>
    <t>Continental Pit - Reclaimable Area</t>
  </si>
  <si>
    <t>Garage Area</t>
  </si>
  <si>
    <t>Historic Preservation (GMMIA)</t>
  </si>
  <si>
    <t>HsB Water Treatment Plant (BMFOU)</t>
  </si>
  <si>
    <t>Misc Precipitation Plant RR</t>
  </si>
  <si>
    <t>Precipitation Plant Area</t>
  </si>
  <si>
    <t>Primary Crusher (EXEMPT)</t>
  </si>
  <si>
    <t>RDS HsB</t>
  </si>
  <si>
    <t>YDTI Embankment Upstream 2.7:1</t>
  </si>
  <si>
    <t>YDTI Embankment WED (BMFOU)</t>
  </si>
  <si>
    <t>DEQ NOTES</t>
  </si>
  <si>
    <t>Land footprint bonded at $500/acre- rectified with reported/updated acres</t>
  </si>
  <si>
    <t>A portion removed by Minor Amend 011, which would be graded to 3:1, capped with soil, and revegetated. Other portions of 2:1 slope and riprap would remain until future permitting</t>
  </si>
  <si>
    <t>Precip Plant Area</t>
  </si>
  <si>
    <t>New polygon in new map- added to Earthmoving and Reveg</t>
  </si>
  <si>
    <t>ALL ROADS in post-1974 area (AC)</t>
  </si>
  <si>
    <t>Calculated difference from total area (reported) and crest measurement</t>
  </si>
  <si>
    <t>Topsoil resource will cover 731 acres at 6 inches (2023 Rec Plan)</t>
  </si>
  <si>
    <t>Previous map, with separate features for each limb</t>
  </si>
  <si>
    <t>TSF: West Embankment (3:1 Downstream)- Soil Area</t>
  </si>
  <si>
    <t>Misc. Precip Plant RR</t>
  </si>
  <si>
    <t>Precip Plant Area (Facility Footprint)</t>
  </si>
  <si>
    <t>North Dump</t>
  </si>
  <si>
    <t xml:space="preserve">Misc. Disturbance </t>
  </si>
  <si>
    <t>Precip Plant Area + Precip RR</t>
  </si>
  <si>
    <t>See Earthmoving and Reveg tabs</t>
  </si>
  <si>
    <t>Feature did not exist prior to 2020 bond review</t>
  </si>
  <si>
    <t>Water not separated, like it was in 2020 map/bond</t>
  </si>
  <si>
    <t>Footprint reclamation addressed on the Earthmoving and Reveg tabs</t>
  </si>
  <si>
    <t>All combined in 2025, rather than 2020 mapping method. Does not exclude crest road areas. Updated 5-year projection map needed</t>
  </si>
  <si>
    <t>This is a long-term/post-closure footprint, disconnnected from the first 5 years of reclamation following closure at 15,000 ac-ft</t>
  </si>
  <si>
    <t>Formula check</t>
  </si>
  <si>
    <t xml:space="preserve">Assume half of the topsoil coverage area = 731 ac in 2023 Rec Plan (731 ac / 2 = 366 ac) is split between pre-1974 and post-1974 areas  </t>
  </si>
  <si>
    <t>See spillway costs, no reclamation footprint cited</t>
  </si>
  <si>
    <t>RR Demolition</t>
  </si>
  <si>
    <t>Railroad Ties &amp; Track Removal</t>
  </si>
  <si>
    <t>*2025 RS Means 02 41 13 33 3500</t>
  </si>
  <si>
    <t>Precip Plant Railroad</t>
  </si>
  <si>
    <t xml:space="preserve">8,500 ft on 2020 bond map; reported in 2025 as 0.3 acre </t>
  </si>
  <si>
    <t>DEQ measurement on 2025 imagery- Only 1,200 ft is exposed, the rest is buried by RDS, access roads, or otherwise obliterated</t>
  </si>
  <si>
    <t>Based on 2020 and 2025 Bond Maps:</t>
  </si>
  <si>
    <t>The exposed/accessible length of railroad within post-1974 bonding areas is approx. 1,200 ft</t>
  </si>
  <si>
    <t>Details TBD in pending MR map</t>
  </si>
  <si>
    <t>Not separated on MR maps, crest measured from aerial imagery to assist with calculations</t>
  </si>
  <si>
    <t>Water Supply Well - Plug/Grout</t>
  </si>
  <si>
    <t>ASSUME 30% NEED RIP RAP</t>
  </si>
  <si>
    <t>ASSUME 50% NEED RIP RAP</t>
  </si>
  <si>
    <t>*Production rate doubled to assume 2 Dozers (MR Operator Preliminary Bond comment 1/23/26)</t>
  </si>
  <si>
    <t>FROM MR 1/23/2026 SUBMITTAL</t>
  </si>
  <si>
    <t>2025 Prelim</t>
  </si>
  <si>
    <t>PRELIM BOND</t>
  </si>
  <si>
    <t>Concentrator Area Reclaimed (EXEMPT)</t>
  </si>
  <si>
    <t>Continental Pit 5410' NGVD29 / 5466' (BMFOU)</t>
  </si>
  <si>
    <t>CZ Pit Bench/Ramp</t>
  </si>
  <si>
    <t>CZ Pit Highwall</t>
  </si>
  <si>
    <t>Exploration Permit Partially Reclaimed/Released</t>
  </si>
  <si>
    <t>Misc Partially Reclaimed</t>
  </si>
  <si>
    <t>Misc Partially Reclaimed/Released</t>
  </si>
  <si>
    <t>Powerline Road Partially Reclaimed/Released</t>
  </si>
  <si>
    <t>Primary Crusher Reclaimed (EXEMPT)</t>
  </si>
  <si>
    <t>RDS East Partially Reclaimed</t>
  </si>
  <si>
    <t>RDS East Partially Reclaimed/Released</t>
  </si>
  <si>
    <t>RDS Hillcrest Partially Reclaimed/Released</t>
  </si>
  <si>
    <t>RDS HsB Crest</t>
  </si>
  <si>
    <t>RDS North Crest</t>
  </si>
  <si>
    <t>RDS North East Partially Reclaimed/Released</t>
  </si>
  <si>
    <t>RDS Woodville Partially Reclaimed/Released</t>
  </si>
  <si>
    <t>Undisturbed - 711 Road</t>
  </si>
  <si>
    <t>YDTI East-West Crest</t>
  </si>
  <si>
    <t>YDTI East-West Crest Road</t>
  </si>
  <si>
    <t>YDTI East-West Embankment 2.7:1</t>
  </si>
  <si>
    <t>YDTI East-West Embankment Upstream 2.7:1</t>
  </si>
  <si>
    <t>YDTI Equilibrium Pond - Approx. 2000ac/ft - Elev. 6375ft</t>
  </si>
  <si>
    <t>YDTI North-South Crest</t>
  </si>
  <si>
    <t>YDTI North-South Crest Road</t>
  </si>
  <si>
    <t>YDTI North-South Embankment 2.7:1</t>
  </si>
  <si>
    <t>YDTI North-South Embankment Road</t>
  </si>
  <si>
    <t>YDTI North-South Embankment Upstream 2.7:1</t>
  </si>
  <si>
    <t>YDTI West Crest</t>
  </si>
  <si>
    <t>YDTI West Crest Road</t>
  </si>
  <si>
    <t>YDTI West Embankment 2.5:1</t>
  </si>
  <si>
    <t>YDTI West Embankment 2.7:1</t>
  </si>
  <si>
    <t>YDTI West Embankment Partially Reclaimed - Graded</t>
  </si>
  <si>
    <t>YDTI West Embankment Upstream 2.7:1</t>
  </si>
  <si>
    <t>Feature- total volume of soil (LCY)</t>
  </si>
  <si>
    <t>TSF: West Embankment (Load/Haul/Dump) - Alluvium Area (Includes 20" and 28")</t>
  </si>
  <si>
    <t>TSF: West Embankment- Soil Area (6" added on 14" alluvium)</t>
  </si>
  <si>
    <t>See Above</t>
  </si>
  <si>
    <t>The reclaimable beach at closure (years 0-5) will become 735.6 (new map) for post-1974 areas</t>
  </si>
  <si>
    <t>At Closure</t>
  </si>
  <si>
    <t>Pre-1974 ($500/acre)</t>
  </si>
  <si>
    <t>Post-1974 (full bond)</t>
  </si>
  <si>
    <t>Beach (initially reclaimable)</t>
  </si>
  <si>
    <t>Transition Zone (primary)</t>
  </si>
  <si>
    <t>Transition Zone (north)</t>
  </si>
  <si>
    <t>At Equilibrium</t>
  </si>
  <si>
    <t>Beach - Reclaimed</t>
  </si>
  <si>
    <t>Transition Zone (primary) - Turned to Beach</t>
  </si>
  <si>
    <t>Transition Zone (north)- Reclaimed</t>
  </si>
  <si>
    <t>Post-1974 areas- bonded for dust control, capping material, seed+weed control</t>
  </si>
  <si>
    <t>Post-1974 areas- bonded for seed+weed control</t>
  </si>
  <si>
    <t>Year 1</t>
  </si>
  <si>
    <t>Year 2</t>
  </si>
  <si>
    <t>Year 3</t>
  </si>
  <si>
    <t>Year 4</t>
  </si>
  <si>
    <t>Year 5</t>
  </si>
  <si>
    <t>(Total initial beach divided by 5, first 5 years)</t>
  </si>
  <si>
    <t>Dust Control Area</t>
  </si>
  <si>
    <t>Preliminary Bond:</t>
  </si>
  <si>
    <t>*Per Operator Preliminary Comments received 1/23/26. No riser pipe removal required in addition to downhole pump removal.</t>
  </si>
  <si>
    <t>Loader (365D)</t>
  </si>
  <si>
    <t>Spread material relocated from stockpile to new beach</t>
  </si>
  <si>
    <t>Added to row above, to be split out over 5 years</t>
  </si>
  <si>
    <t>6020B Shovel/980 Loader, 777/740 Truck, D8T Dozer</t>
  </si>
  <si>
    <t>Removed D8 (added as separate step), added 740 haul</t>
  </si>
  <si>
    <t>Magnesium Chloride Application on incrementally exposed tailings</t>
  </si>
  <si>
    <t>Assumes remaining exposed tailings are sprayed once- cost/area is split evenly over 5-year increments</t>
  </si>
  <si>
    <t>Address under Explo License bond</t>
  </si>
  <si>
    <t>Includes Misc. Partially Reclaimed -- which has not been released</t>
  </si>
  <si>
    <t>Added to Misc. No partial release yet, bonded for sloping, soil placement, seeding and weed control</t>
  </si>
  <si>
    <t>Added to RDS East. No partial release yet, bonded for sloping, soil placement, seeding and weed control</t>
  </si>
  <si>
    <t>Includes RDS East Partially Reclaimed -- which has not been released</t>
  </si>
  <si>
    <t>Unreclaimable/vertical surfaces</t>
  </si>
  <si>
    <t>Not bonded- feature managed under BMFOU plans and authority</t>
  </si>
  <si>
    <t>Not bonded- feature to remain in current status for historic preservation under GMMIA plans</t>
  </si>
  <si>
    <t>Not bonded- feature is pre-1971 processing facility and exempt from bonding</t>
  </si>
  <si>
    <t>Not an exempt processing facility, but contained pre-1974 area limited to $500/acre</t>
  </si>
  <si>
    <t>Reflects partial release of sloping and soil placement, not seeding and weed control</t>
  </si>
  <si>
    <t>Not included in Prelim, area was unclear. Now added for all bond tasks</t>
  </si>
  <si>
    <t>Not a separate feature on map and Proposed bond, combined into Continental Highwall, Misc. or RDS East as applicable</t>
  </si>
  <si>
    <t>New map and Proposed bond account for overlapping CZABA</t>
  </si>
  <si>
    <t>Treated as Downstream 3H:1V area, no partial release approved</t>
  </si>
  <si>
    <t>YDTI West Embankment Partially Reclaimed - Released</t>
  </si>
  <si>
    <t>Not separated on map- calculated</t>
  </si>
  <si>
    <t>Treated as Downstream 3H:1V area, no partial release approved - removed area approved for release</t>
  </si>
  <si>
    <t>Area is removed through the construction of HSB RDS</t>
  </si>
  <si>
    <t>added above</t>
  </si>
  <si>
    <t>all pre-1974</t>
  </si>
  <si>
    <t>All combined in 2025, rather than 2020 mapping method. Updated in new map</t>
  </si>
  <si>
    <t>Assumptions based on Rec Plan, would remove acres from McQueen, Misc., and Pittsmont RDS. Shown in updated 5-year projection map</t>
  </si>
  <si>
    <t>Combined in other Roads in new map</t>
  </si>
  <si>
    <t>Remainder of beach that will not receive 6-inch soil layer (only alluvium)</t>
  </si>
  <si>
    <t>Not separated on map- DEQ calculated</t>
  </si>
  <si>
    <t>Undisturbed- no bond required</t>
  </si>
  <si>
    <t>Flat roads (assume half of roads area)</t>
  </si>
  <si>
    <t>Slope roads (assume half of roads area)- corrected</t>
  </si>
  <si>
    <t>(Transition zone exposure = initial area divided by 28 years of pond drawdown)</t>
  </si>
  <si>
    <t>Annual spray</t>
  </si>
  <si>
    <t>Spray every 5</t>
  </si>
  <si>
    <t>Spray at end</t>
  </si>
  <si>
    <t>Sprayed area between Years 6-33</t>
  </si>
  <si>
    <t>Initial Transition Zone Area</t>
  </si>
  <si>
    <t>ft long (Avg width 60 ft)</t>
  </si>
  <si>
    <t>Alluvium Areas- Formula check from Earthmoving tab</t>
  </si>
  <si>
    <t>Not depicted in prior map</t>
  </si>
  <si>
    <t>*Dozer costs removed from LHD task for most features, addressed in following dozer line item with D10T (MR Operator Preliminary Bond comment 1/23/26)</t>
  </si>
  <si>
    <t>*Production rates doubled to assume 2 Dozers, where applicable (MR Operator Preliminary Bond comment 1/23/26)</t>
  </si>
  <si>
    <t>*Removed 21.7 acres of earthwork, for partial release on West Embankment</t>
  </si>
  <si>
    <t>980 Loader, (3) 740 Truck</t>
  </si>
  <si>
    <t>980 Loader, 740 Truck</t>
  </si>
  <si>
    <t>Updated in new map</t>
  </si>
  <si>
    <t>Combined into other features in new map</t>
  </si>
  <si>
    <t>TSF: West Embankment- RELEASED</t>
  </si>
  <si>
    <t>Remaining areas after partial release of 21.7 acres</t>
  </si>
  <si>
    <t>Cost for later phases (Years 6-33). Total area to be split into equal 5-year increments (acreage to left here), see Long Term tab</t>
  </si>
  <si>
    <t>The total area is sprayed one time (split into 5 years, not knowing the rate of coverage)</t>
  </si>
  <si>
    <t>The total area is not being used for each year between years 0-5</t>
  </si>
  <si>
    <t>Post-1974 area</t>
  </si>
  <si>
    <t>DUST CONTROL ACCOUNTING</t>
  </si>
  <si>
    <t>POST-1974</t>
  </si>
  <si>
    <t>Magnesium Chloride Application (Assumes 1 spraying on initial beach area, split evenly over 5 years)</t>
  </si>
  <si>
    <t>Powerline Road - RELEASED</t>
  </si>
  <si>
    <t>The larger area cited in MR's response to the Prelim Bond (&gt;1,100 acres) and within the Rec Plan Table RP-8-2 includes pre-1974 areas</t>
  </si>
  <si>
    <t>SLOPE CORRECTION*</t>
  </si>
  <si>
    <t>Roads:</t>
  </si>
  <si>
    <t>Grand Total (Reported)</t>
  </si>
  <si>
    <t>YDTI Crests:</t>
  </si>
  <si>
    <t>YDTI West Embankment Partially Reclaimed (3:1)</t>
  </si>
  <si>
    <t>YDTI Embankments 2:1</t>
  </si>
  <si>
    <t>YDTI Embankments 2.7:1</t>
  </si>
  <si>
    <t>*Assume RDS are 2.7H:1V to 3H:1V (in 2023 Rec Plan), other features based on reported slope</t>
  </si>
  <si>
    <t>corrected above</t>
  </si>
  <si>
    <t>WAS 27.3 AC PRIOR TO RELEASE OF 21.7 AC</t>
  </si>
  <si>
    <t>TSF: West Embankment- Alluvium/soil Area</t>
  </si>
  <si>
    <t>TSF North Transition Zone</t>
  </si>
  <si>
    <t>TSF- Tailings Transition Zone (per future 5-year increment)</t>
  </si>
  <si>
    <t>TSF- North Transition Zone (per future 5-year increment)</t>
  </si>
  <si>
    <t>Assume North Transition Zone total is split into increments</t>
  </si>
  <si>
    <t>AC per 5-year increment</t>
  </si>
  <si>
    <t>Remaining 3 years =  Transition Zone and North Transition Zone</t>
  </si>
  <si>
    <t>AC/5-yr</t>
  </si>
  <si>
    <t>Prelim bond</t>
  </si>
  <si>
    <t>TSF- Tailings Transition Zone (from stockpile)</t>
  </si>
  <si>
    <t>(Transition zone exposure = sum of 5 years, work completed)</t>
  </si>
  <si>
    <t>Task 5- Long-Term Care &amp; Maintenance (Years 6-33)*</t>
  </si>
  <si>
    <t>*Indirect Costs do not apply to Care &amp; Maintenance contracts, but the applicable net discount rate (2.0%) has been corrected to assume 2.75% inflation</t>
  </si>
  <si>
    <t>Inflation (to next Comprehensive Review)</t>
  </si>
  <si>
    <t>Calculated separately, not added to inflation row above</t>
  </si>
  <si>
    <t>RDS North (Includes Crest)</t>
  </si>
  <si>
    <t>Other tasks/costs released, but no release for revegetation</t>
  </si>
  <si>
    <t>No longer required in Proposed Bond. As modeled in the "Probable Case" in Amend 010 and further supported by no longer diverting post-closure WED seepage to the pond (now part of BMFOU management)</t>
  </si>
  <si>
    <t>Rounding error of $1 in Prelim Bond</t>
  </si>
  <si>
    <t>Riser pipe removal</t>
  </si>
  <si>
    <t>Final Comprehensive 5-Year Bond Review</t>
  </si>
  <si>
    <t>FINAL BOND- USE THIS COLUMN FOR CALCS</t>
  </si>
  <si>
    <t>PROPOSED BOND</t>
  </si>
  <si>
    <t>FINAL BOND</t>
  </si>
  <si>
    <t>Difference:</t>
  </si>
  <si>
    <t>*Acreage corrected from 1756 (Prelim &amp; Proposed) to 1759 (Final)</t>
  </si>
  <si>
    <t>Reduction in Obligated</t>
  </si>
  <si>
    <t>New Unobligated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</si>
</sst>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_(&quot;$&quot;* #,##0_);_(&quot;$&quot;* \(#,##0\);_(&quot;$&quot;* &quot;-&quot;??_);_(@_)"/>
    <numFmt numFmtId="167" formatCode="0.0%"/>
    <numFmt numFmtId="168" formatCode="_([$$-409]* #,##0_);_([$$-409]* \(#,##0\);_([$$-409]* &quot;-&quot;??_);_(@_)"/>
    <numFmt numFmtId="169" formatCode="_(* #,##0.0_);_(* \(#,##0.0\);_(* &quot;-&quot;??_);_(@_)"/>
    <numFmt numFmtId="170" formatCode="&quot;$&quot;#,##0"/>
    <numFmt numFmtId="171" formatCode="&quot;$&quot;#,##0.00"/>
    <numFmt numFmtId="172" formatCode="#,##0.0"/>
    <numFmt numFmtId="173" formatCode="#,##0.0_);\(#,##0.0\)"/>
    <numFmt numFmtId="174" formatCode="0.000"/>
  </numFmts>
  <fonts count="8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name val="Arial"/>
      <family val="2"/>
    </font>
    <font>
      <sz val="10"/>
      <name val="Arial"/>
      <family val="2"/>
    </font>
    <font>
      <b/>
      <sz val="12"/>
      <color theme="1"/>
      <name val="Calibri"/>
      <family val="2"/>
      <scheme val="minor"/>
    </font>
    <font>
      <sz val="9"/>
      <color indexed="81"/>
      <name val="Tahoma"/>
      <family val="2"/>
    </font>
    <font>
      <b/>
      <sz val="9"/>
      <color indexed="81"/>
      <name val="Tahoma"/>
      <family val="2"/>
    </font>
    <font>
      <b/>
      <u/>
      <sz val="11"/>
      <color theme="1"/>
      <name val="Calibri"/>
      <family val="2"/>
      <scheme val="minor"/>
    </font>
    <font>
      <i/>
      <sz val="11"/>
      <color theme="1"/>
      <name val="Calibri"/>
      <family val="2"/>
      <scheme val="minor"/>
    </font>
    <font>
      <b/>
      <i/>
      <sz val="11"/>
      <color theme="1"/>
      <name val="Calibri"/>
      <family val="2"/>
      <scheme val="minor"/>
    </font>
    <font>
      <u/>
      <sz val="11"/>
      <color theme="1"/>
      <name val="Calibri"/>
      <family val="2"/>
      <scheme val="minor"/>
    </font>
    <font>
      <i/>
      <sz val="11"/>
      <color rgb="FF0070C0"/>
      <name val="Calibri"/>
      <family val="2"/>
      <scheme val="minor"/>
    </font>
    <font>
      <sz val="11"/>
      <name val="Calibri"/>
      <family val="2"/>
      <scheme val="minor"/>
    </font>
    <font>
      <sz val="8"/>
      <name val="Calibri"/>
      <family val="2"/>
      <scheme val="minor"/>
    </font>
    <font>
      <i/>
      <sz val="11"/>
      <name val="Calibri"/>
      <family val="2"/>
      <scheme val="minor"/>
    </font>
    <font>
      <b/>
      <sz val="11"/>
      <color rgb="FFFF0000"/>
      <name val="Calibri"/>
      <family val="2"/>
      <scheme val="minor"/>
    </font>
    <font>
      <sz val="11"/>
      <color rgb="FF000000"/>
      <name val="Calibri"/>
      <family val="2"/>
    </font>
    <font>
      <b/>
      <sz val="11"/>
      <name val="Calibri"/>
      <family val="2"/>
      <scheme val="minor"/>
    </font>
    <font>
      <b/>
      <sz val="11"/>
      <color rgb="FF000000"/>
      <name val="Calibri"/>
      <family val="2"/>
    </font>
    <font>
      <sz val="11"/>
      <color rgb="FF000000"/>
      <name val="Calibri"/>
      <family val="2"/>
      <scheme val="minor"/>
    </font>
    <font>
      <b/>
      <sz val="11"/>
      <color rgb="FF000000"/>
      <name val="Calibri"/>
      <family val="2"/>
      <scheme val="minor"/>
    </font>
    <font>
      <sz val="11"/>
      <name val="Calibri"/>
      <family val="2"/>
    </font>
    <font>
      <b/>
      <sz val="12"/>
      <color rgb="FF000000"/>
      <name val="Calibri"/>
      <family val="2"/>
    </font>
    <font>
      <b/>
      <sz val="14"/>
      <color rgb="FF000000"/>
      <name val="Calibri"/>
      <family val="2"/>
    </font>
    <font>
      <sz val="10"/>
      <color rgb="FF000000"/>
      <name val="Calibri"/>
      <family val="2"/>
    </font>
    <font>
      <u/>
      <sz val="14"/>
      <color rgb="FF000000"/>
      <name val="Calibri"/>
      <family val="2"/>
    </font>
    <font>
      <b/>
      <sz val="12"/>
      <name val="Calibri"/>
      <family val="2"/>
    </font>
    <font>
      <u/>
      <sz val="14"/>
      <name val="Calibri"/>
      <family val="2"/>
    </font>
    <font>
      <b/>
      <sz val="11"/>
      <name val="Calibri"/>
      <family val="2"/>
    </font>
    <font>
      <sz val="11"/>
      <color rgb="FFFF0000"/>
      <name val="Calibri"/>
      <family val="2"/>
    </font>
    <font>
      <sz val="11"/>
      <color rgb="FF000000"/>
      <name val="Aptos Narrow"/>
      <family val="2"/>
    </font>
    <font>
      <b/>
      <sz val="11"/>
      <color rgb="FF000000"/>
      <name val="Aptos Narrow"/>
      <family val="2"/>
    </font>
    <font>
      <u/>
      <sz val="11"/>
      <color rgb="FF000000"/>
      <name val="Aptos Narrow"/>
      <family val="2"/>
    </font>
    <font>
      <sz val="10"/>
      <name val="Calibri"/>
      <family val="2"/>
      <scheme val="minor"/>
    </font>
    <font>
      <sz val="11.5"/>
      <name val="Calibri"/>
      <family val="2"/>
      <scheme val="minor"/>
    </font>
    <font>
      <u/>
      <sz val="11"/>
      <name val="Calibri"/>
      <family val="2"/>
      <scheme val="minor"/>
    </font>
    <font>
      <vertAlign val="superscript"/>
      <sz val="11"/>
      <name val="Calibri"/>
      <family val="2"/>
      <scheme val="minor"/>
    </font>
    <font>
      <b/>
      <sz val="11"/>
      <color rgb="FFFF00FF"/>
      <name val="Calibri"/>
      <family val="2"/>
      <scheme val="minor"/>
    </font>
    <font>
      <sz val="11"/>
      <color rgb="FFFF00FF"/>
      <name val="Calibri"/>
      <family val="2"/>
      <scheme val="minor"/>
    </font>
    <font>
      <sz val="12"/>
      <color theme="1"/>
      <name val="Calibri"/>
      <family val="2"/>
    </font>
    <font>
      <b/>
      <i/>
      <sz val="11"/>
      <name val="Calibri"/>
      <family val="2"/>
      <scheme val="minor"/>
    </font>
    <font>
      <i/>
      <sz val="11"/>
      <color rgb="FFFF0000"/>
      <name val="Calibri"/>
      <family val="2"/>
      <scheme val="minor"/>
    </font>
    <font>
      <u/>
      <sz val="11"/>
      <color theme="10"/>
      <name val="Calibri"/>
      <family val="2"/>
      <scheme val="minor"/>
    </font>
    <font>
      <b/>
      <sz val="14"/>
      <color theme="1"/>
      <name val="Calibri"/>
      <family val="2"/>
      <scheme val="minor"/>
    </font>
    <font>
      <b/>
      <vertAlign val="superscript"/>
      <sz val="11"/>
      <color theme="1"/>
      <name val="Calibri"/>
      <family val="2"/>
      <scheme val="minor"/>
    </font>
    <font>
      <sz val="14"/>
      <color theme="1"/>
      <name val="Calibri"/>
      <family val="2"/>
      <scheme val="minor"/>
    </font>
    <font>
      <u val="singleAccounting"/>
      <sz val="11"/>
      <name val="Calibri"/>
      <family val="2"/>
      <scheme val="minor"/>
    </font>
    <font>
      <b/>
      <sz val="14"/>
      <name val="Calibri"/>
      <family val="2"/>
      <scheme val="minor"/>
    </font>
    <font>
      <strike/>
      <sz val="11"/>
      <color theme="1"/>
      <name val="Calibri"/>
      <family val="2"/>
      <scheme val="minor"/>
    </font>
    <font>
      <strike/>
      <sz val="11"/>
      <color rgb="FFFF0000"/>
      <name val="Calibri"/>
      <family val="2"/>
      <scheme val="minor"/>
    </font>
    <font>
      <b/>
      <sz val="12"/>
      <name val="Arial"/>
      <family val="2"/>
    </font>
    <font>
      <b/>
      <i/>
      <sz val="12"/>
      <name val="Arial"/>
      <family val="2"/>
    </font>
    <font>
      <sz val="11"/>
      <color theme="1"/>
      <name val="Aptos Narrow"/>
      <family val="2"/>
    </font>
    <font>
      <i/>
      <sz val="11"/>
      <color rgb="FF000000"/>
      <name val="Calibri"/>
      <family val="2"/>
      <scheme val="minor"/>
    </font>
    <font>
      <i/>
      <u/>
      <sz val="11"/>
      <color theme="1"/>
      <name val="Calibri"/>
      <family val="2"/>
      <scheme val="minor"/>
    </font>
    <font>
      <sz val="11"/>
      <color rgb="FF00B0F0"/>
      <name val="Calibri"/>
      <family val="2"/>
      <scheme val="minor"/>
    </font>
    <font>
      <b/>
      <i/>
      <sz val="11"/>
      <color rgb="FF00B050"/>
      <name val="Calibri"/>
      <family val="2"/>
      <scheme val="minor"/>
    </font>
    <font>
      <sz val="8"/>
      <color rgb="FFE8E8E8"/>
      <name val="Arial"/>
      <family val="2"/>
    </font>
    <font>
      <b/>
      <sz val="12"/>
      <name val="Calibri"/>
      <family val="2"/>
      <scheme val="minor"/>
    </font>
    <font>
      <b/>
      <i/>
      <u/>
      <sz val="11"/>
      <color theme="1"/>
      <name val="Calibri"/>
      <family val="2"/>
      <scheme val="minor"/>
    </font>
    <font>
      <strike/>
      <u/>
      <sz val="11"/>
      <color rgb="FFFF00FF"/>
      <name val="Calibri"/>
      <family val="2"/>
      <scheme val="minor"/>
    </font>
    <font>
      <strike/>
      <sz val="11"/>
      <color rgb="FFFF00FF"/>
      <name val="Calibri"/>
      <family val="2"/>
      <scheme val="minor"/>
    </font>
    <font>
      <sz val="11.5"/>
      <color rgb="FFFF00FF"/>
      <name val="Calibri"/>
      <family val="2"/>
      <scheme val="minor"/>
    </font>
    <font>
      <b/>
      <sz val="11"/>
      <color rgb="FF00B0F0"/>
      <name val="Calibri"/>
      <family val="2"/>
      <scheme val="minor"/>
    </font>
    <font>
      <sz val="11"/>
      <color theme="1"/>
      <name val="Aptos"/>
      <family val="2"/>
    </font>
    <font>
      <sz val="10"/>
      <color theme="5"/>
      <name val="Calibri"/>
      <family val="2"/>
      <scheme val="minor"/>
    </font>
    <font>
      <b/>
      <sz val="10"/>
      <color theme="5"/>
      <name val="Calibri"/>
      <family val="2"/>
      <scheme val="minor"/>
    </font>
    <font>
      <sz val="12"/>
      <color theme="1"/>
      <name val="Calibri"/>
      <family val="2"/>
      <scheme val="minor"/>
    </font>
    <font>
      <b/>
      <i/>
      <sz val="12"/>
      <color theme="1"/>
      <name val="Calibri"/>
      <family val="2"/>
      <scheme val="minor"/>
    </font>
    <font>
      <b/>
      <i/>
      <sz val="11"/>
      <color rgb="FF000000"/>
      <name val="Calibri"/>
      <family val="2"/>
    </font>
    <font>
      <i/>
      <sz val="11"/>
      <color rgb="FF000000"/>
      <name val="Calibri"/>
      <family val="2"/>
    </font>
    <font>
      <i/>
      <sz val="11"/>
      <name val="Calibri"/>
      <family val="2"/>
    </font>
    <font>
      <b/>
      <i/>
      <sz val="14"/>
      <name val="Calibri"/>
      <family val="2"/>
      <scheme val="minor"/>
    </font>
    <font>
      <i/>
      <sz val="10"/>
      <name val="Calibri"/>
      <family val="2"/>
      <scheme val="minor"/>
    </font>
    <font>
      <sz val="11"/>
      <color theme="1"/>
      <name val="Calibri"/>
      <family val="2"/>
    </font>
    <font>
      <b/>
      <i/>
      <sz val="14"/>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i/>
      <sz val="11"/>
      <color theme="1"/>
      <name val="Calibri"/>
      <family val="2"/>
    </font>
    <font>
      <strike/>
      <sz val="11"/>
      <color theme="1"/>
      <name val="Calibri"/>
      <family val="2"/>
    </font>
  </fonts>
  <fills count="15">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D9E1F2"/>
        <bgColor indexed="64"/>
      </patternFill>
    </fill>
    <fill>
      <patternFill patternType="solid">
        <fgColor rgb="FFA6A6A6"/>
        <bgColor rgb="FF000000"/>
      </patternFill>
    </fill>
    <fill>
      <patternFill patternType="solid">
        <fgColor rgb="FFBFBFBF"/>
        <bgColor rgb="FF000000"/>
      </patternFill>
    </fill>
    <fill>
      <patternFill patternType="solid">
        <fgColor rgb="FFD9D9D9"/>
        <bgColor rgb="FF000000"/>
      </patternFill>
    </fill>
    <fill>
      <patternFill patternType="solid">
        <fgColor rgb="FFD9E1F2"/>
        <bgColor rgb="FF000000"/>
      </patternFill>
    </fill>
    <fill>
      <patternFill patternType="solid">
        <fgColor rgb="FFFFFF00"/>
        <bgColor indexed="64"/>
      </patternFill>
    </fill>
    <fill>
      <patternFill patternType="solid">
        <fgColor theme="2" tint="-9.9978637043366805E-2"/>
        <bgColor indexed="64"/>
      </patternFill>
    </fill>
    <fill>
      <patternFill patternType="solid">
        <fgColor theme="4" tint="0.79998168889431442"/>
        <bgColor rgb="FF000000"/>
      </patternFill>
    </fill>
    <fill>
      <patternFill patternType="solid">
        <fgColor theme="0" tint="-0.249977111117893"/>
        <bgColor indexed="64"/>
      </patternFill>
    </fill>
    <fill>
      <patternFill patternType="solid">
        <fgColor theme="9" tint="0.59999389629810485"/>
        <bgColor rgb="FF000000"/>
      </patternFill>
    </fill>
    <fill>
      <patternFill patternType="solid">
        <fgColor theme="5" tint="0.59999389629810485"/>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rgb="FF000000"/>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rgb="FF000000"/>
      </right>
      <top/>
      <bottom/>
      <diagonal/>
    </border>
    <border>
      <left style="medium">
        <color indexed="64"/>
      </left>
      <right/>
      <top/>
      <bottom style="thin">
        <color indexed="64"/>
      </bottom>
      <diagonal/>
    </border>
    <border>
      <left/>
      <right style="medium">
        <color rgb="FF000000"/>
      </right>
      <top/>
      <bottom style="medium">
        <color indexed="64"/>
      </bottom>
      <diagonal/>
    </border>
    <border>
      <left/>
      <right style="medium">
        <color rgb="FF000000"/>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xf numFmtId="43" fontId="5" fillId="0" borderId="0" applyFont="0" applyFill="0" applyBorder="0" applyAlignment="0" applyProtection="0"/>
    <xf numFmtId="0" fontId="4" fillId="0" borderId="0"/>
    <xf numFmtId="0" fontId="1" fillId="0" borderId="0"/>
    <xf numFmtId="0" fontId="1" fillId="0" borderId="0"/>
    <xf numFmtId="44" fontId="5" fillId="0" borderId="0" applyFont="0" applyFill="0" applyBorder="0" applyAlignment="0" applyProtection="0"/>
    <xf numFmtId="0" fontId="44"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985">
    <xf numFmtId="0" fontId="0" fillId="0" borderId="0" xfId="0"/>
    <xf numFmtId="0" fontId="0" fillId="0" borderId="0" xfId="0" applyAlignment="1">
      <alignment horizontal="center"/>
    </xf>
    <xf numFmtId="0" fontId="3" fillId="0" borderId="0" xfId="0" applyFont="1" applyAlignment="1">
      <alignment horizontal="center"/>
    </xf>
    <xf numFmtId="0" fontId="3" fillId="0" borderId="0" xfId="0" applyFont="1"/>
    <xf numFmtId="44" fontId="0" fillId="0" borderId="0" xfId="2" applyFont="1"/>
    <xf numFmtId="164" fontId="0" fillId="0" borderId="0" xfId="0" applyNumberFormat="1"/>
    <xf numFmtId="0" fontId="0" fillId="0" borderId="8" xfId="0" applyBorder="1"/>
    <xf numFmtId="44" fontId="3" fillId="0" borderId="0" xfId="2" applyFont="1" applyBorder="1"/>
    <xf numFmtId="0" fontId="0" fillId="0" borderId="7" xfId="0" applyBorder="1"/>
    <xf numFmtId="0" fontId="3" fillId="0" borderId="7" xfId="0" applyFont="1" applyBorder="1"/>
    <xf numFmtId="0" fontId="0" fillId="0" borderId="5" xfId="0" applyBorder="1"/>
    <xf numFmtId="2" fontId="0" fillId="0" borderId="0" xfId="0" applyNumberFormat="1"/>
    <xf numFmtId="0" fontId="3" fillId="0" borderId="4" xfId="0" applyFont="1" applyBorder="1" applyAlignment="1">
      <alignment horizontal="center"/>
    </xf>
    <xf numFmtId="0" fontId="3" fillId="0" borderId="5" xfId="0" applyFont="1" applyBorder="1" applyAlignment="1">
      <alignment horizontal="center"/>
    </xf>
    <xf numFmtId="0" fontId="9" fillId="0" borderId="0" xfId="0" applyFont="1"/>
    <xf numFmtId="0" fontId="10" fillId="0" borderId="0" xfId="0" applyFont="1" applyAlignment="1">
      <alignment horizontal="center"/>
    </xf>
    <xf numFmtId="44" fontId="0" fillId="0" borderId="0" xfId="2" applyFont="1" applyBorder="1" applyAlignment="1"/>
    <xf numFmtId="0" fontId="3" fillId="0" borderId="0" xfId="0" applyFont="1" applyAlignment="1">
      <alignment horizontal="left" indent="2"/>
    </xf>
    <xf numFmtId="0" fontId="3" fillId="0" borderId="0" xfId="0" applyFont="1" applyAlignment="1">
      <alignment horizontal="left"/>
    </xf>
    <xf numFmtId="166" fontId="0" fillId="0" borderId="0" xfId="2" applyNumberFormat="1" applyFont="1" applyBorder="1" applyAlignment="1"/>
    <xf numFmtId="44" fontId="0" fillId="0" borderId="0" xfId="2" applyFont="1" applyFill="1" applyBorder="1" applyAlignment="1"/>
    <xf numFmtId="0" fontId="10" fillId="0" borderId="0" xfId="0" applyFont="1"/>
    <xf numFmtId="0" fontId="13" fillId="0" borderId="0" xfId="0" applyFont="1"/>
    <xf numFmtId="0" fontId="0" fillId="0" borderId="0" xfId="1" applyNumberFormat="1" applyFont="1" applyAlignment="1">
      <alignment horizontal="left"/>
    </xf>
    <xf numFmtId="0" fontId="3" fillId="0" borderId="4" xfId="0" applyFont="1" applyBorder="1"/>
    <xf numFmtId="0" fontId="3" fillId="0" borderId="5" xfId="0" applyFont="1" applyBorder="1"/>
    <xf numFmtId="0" fontId="3" fillId="2" borderId="0" xfId="0" applyFont="1" applyFill="1"/>
    <xf numFmtId="0" fontId="3" fillId="2" borderId="4" xfId="0" applyFont="1" applyFill="1" applyBorder="1" applyAlignment="1">
      <alignment horizontal="center"/>
    </xf>
    <xf numFmtId="0" fontId="3" fillId="2" borderId="0" xfId="0" applyFont="1" applyFill="1" applyAlignment="1">
      <alignment horizontal="center"/>
    </xf>
    <xf numFmtId="0" fontId="3" fillId="2" borderId="5" xfId="0" applyFont="1" applyFill="1" applyBorder="1" applyAlignment="1">
      <alignment horizontal="center"/>
    </xf>
    <xf numFmtId="0" fontId="0" fillId="2" borderId="0" xfId="0" applyFill="1"/>
    <xf numFmtId="0" fontId="3" fillId="2" borderId="5" xfId="0" applyFont="1" applyFill="1" applyBorder="1"/>
    <xf numFmtId="166" fontId="0" fillId="0" borderId="0" xfId="2" quotePrefix="1" applyNumberFormat="1" applyFont="1" applyBorder="1" applyAlignment="1"/>
    <xf numFmtId="166" fontId="0" fillId="0" borderId="0" xfId="2" applyNumberFormat="1" applyFont="1"/>
    <xf numFmtId="44" fontId="3" fillId="0" borderId="0" xfId="2" applyFont="1" applyFill="1" applyBorder="1" applyAlignment="1"/>
    <xf numFmtId="0" fontId="0" fillId="0" borderId="0" xfId="0" quotePrefix="1"/>
    <xf numFmtId="0" fontId="0" fillId="2" borderId="0" xfId="0" applyFill="1" applyAlignment="1">
      <alignment horizontal="center"/>
    </xf>
    <xf numFmtId="44" fontId="0" fillId="2" borderId="0" xfId="2" applyFont="1" applyFill="1"/>
    <xf numFmtId="0" fontId="2" fillId="0" borderId="0" xfId="0" applyFont="1"/>
    <xf numFmtId="166" fontId="0" fillId="2" borderId="0" xfId="2" applyNumberFormat="1" applyFont="1" applyFill="1" applyBorder="1" applyAlignment="1"/>
    <xf numFmtId="166" fontId="3" fillId="2" borderId="0" xfId="2" applyNumberFormat="1" applyFont="1" applyFill="1" applyBorder="1" applyAlignment="1"/>
    <xf numFmtId="0" fontId="0" fillId="2" borderId="0" xfId="0" quotePrefix="1" applyFill="1"/>
    <xf numFmtId="44" fontId="0" fillId="2" borderId="0" xfId="0" applyNumberFormat="1" applyFill="1"/>
    <xf numFmtId="9" fontId="0" fillId="0" borderId="0" xfId="3" applyFont="1"/>
    <xf numFmtId="0" fontId="6" fillId="0" borderId="0" xfId="0" applyFont="1"/>
    <xf numFmtId="0" fontId="11" fillId="0" borderId="0" xfId="0" applyFont="1"/>
    <xf numFmtId="0" fontId="1" fillId="0" borderId="0" xfId="7"/>
    <xf numFmtId="0" fontId="1" fillId="0" borderId="0" xfId="7" applyAlignment="1">
      <alignment horizontal="left"/>
    </xf>
    <xf numFmtId="0" fontId="3" fillId="3" borderId="0" xfId="0" applyFont="1" applyFill="1" applyAlignment="1">
      <alignment horizontal="center"/>
    </xf>
    <xf numFmtId="0" fontId="0" fillId="3" borderId="0" xfId="0" applyFill="1"/>
    <xf numFmtId="0" fontId="3" fillId="3" borderId="0" xfId="0" applyFont="1" applyFill="1"/>
    <xf numFmtId="164" fontId="0" fillId="3" borderId="0" xfId="0" applyNumberFormat="1" applyFill="1"/>
    <xf numFmtId="44" fontId="3" fillId="3" borderId="0" xfId="2" applyFont="1" applyFill="1" applyBorder="1"/>
    <xf numFmtId="0" fontId="0" fillId="0" borderId="0" xfId="0" applyAlignment="1">
      <alignment vertical="top" wrapText="1"/>
    </xf>
    <xf numFmtId="0" fontId="3" fillId="3" borderId="5" xfId="0" applyFont="1" applyFill="1" applyBorder="1" applyAlignment="1">
      <alignment horizontal="center"/>
    </xf>
    <xf numFmtId="0" fontId="3" fillId="3" borderId="4" xfId="0" applyFont="1" applyFill="1" applyBorder="1"/>
    <xf numFmtId="0" fontId="3" fillId="3" borderId="5" xfId="0" applyFont="1" applyFill="1" applyBorder="1"/>
    <xf numFmtId="0" fontId="3" fillId="2" borderId="4" xfId="0" applyFont="1" applyFill="1" applyBorder="1"/>
    <xf numFmtId="0" fontId="0" fillId="2" borderId="4" xfId="0" applyFill="1" applyBorder="1"/>
    <xf numFmtId="0" fontId="0" fillId="2" borderId="5" xfId="0" applyFill="1" applyBorder="1"/>
    <xf numFmtId="164" fontId="0" fillId="0" borderId="4" xfId="0" applyNumberFormat="1" applyBorder="1"/>
    <xf numFmtId="0" fontId="3" fillId="3" borderId="4" xfId="0" applyFont="1" applyFill="1" applyBorder="1" applyAlignment="1">
      <alignment horizontal="center"/>
    </xf>
    <xf numFmtId="164" fontId="3" fillId="3" borderId="4" xfId="0" applyNumberFormat="1" applyFont="1" applyFill="1" applyBorder="1"/>
    <xf numFmtId="6" fontId="0" fillId="0" borderId="0" xfId="0" applyNumberFormat="1"/>
    <xf numFmtId="166" fontId="3" fillId="3" borderId="0" xfId="2" applyNumberFormat="1" applyFont="1" applyFill="1"/>
    <xf numFmtId="166" fontId="3" fillId="3" borderId="0" xfId="0" applyNumberFormat="1" applyFont="1" applyFill="1"/>
    <xf numFmtId="166" fontId="0" fillId="0" borderId="0" xfId="2" applyNumberFormat="1" applyFont="1" applyBorder="1" applyAlignment="1">
      <alignment horizontal="left"/>
    </xf>
    <xf numFmtId="166" fontId="0" fillId="0" borderId="0" xfId="2" applyNumberFormat="1" applyFont="1" applyAlignment="1">
      <alignment horizontal="left"/>
    </xf>
    <xf numFmtId="0" fontId="3" fillId="2" borderId="0" xfId="0" applyFont="1" applyFill="1" applyAlignment="1">
      <alignment horizontal="left"/>
    </xf>
    <xf numFmtId="166" fontId="3" fillId="2" borderId="0" xfId="0" applyNumberFormat="1" applyFont="1" applyFill="1" applyAlignment="1">
      <alignment horizontal="left"/>
    </xf>
    <xf numFmtId="0" fontId="10" fillId="2" borderId="0" xfId="0" applyFont="1" applyFill="1" applyAlignment="1">
      <alignment horizontal="center"/>
    </xf>
    <xf numFmtId="166" fontId="3" fillId="2" borderId="0" xfId="2" applyNumberFormat="1" applyFont="1" applyFill="1" applyBorder="1" applyAlignment="1">
      <alignment horizontal="left"/>
    </xf>
    <xf numFmtId="166" fontId="3" fillId="0" borderId="0" xfId="2" applyNumberFormat="1" applyFont="1"/>
    <xf numFmtId="0" fontId="14" fillId="0" borderId="0" xfId="0" applyFont="1"/>
    <xf numFmtId="164" fontId="2" fillId="0" borderId="0" xfId="1" applyNumberFormat="1" applyFont="1"/>
    <xf numFmtId="168" fontId="18" fillId="0" borderId="0" xfId="0" applyNumberFormat="1" applyFont="1"/>
    <xf numFmtId="164" fontId="0" fillId="0" borderId="0" xfId="1" applyNumberFormat="1" applyFont="1"/>
    <xf numFmtId="0" fontId="14" fillId="0" borderId="0" xfId="0" applyFont="1" applyAlignment="1">
      <alignment horizontal="center"/>
    </xf>
    <xf numFmtId="44" fontId="14" fillId="0" borderId="0" xfId="2" applyFont="1"/>
    <xf numFmtId="0" fontId="14" fillId="2" borderId="0" xfId="0" applyFont="1" applyFill="1"/>
    <xf numFmtId="0" fontId="0" fillId="0" borderId="16" xfId="0" applyBorder="1" applyAlignment="1">
      <alignment horizontal="left" indent="1"/>
    </xf>
    <xf numFmtId="169" fontId="0" fillId="0" borderId="0" xfId="0" applyNumberFormat="1"/>
    <xf numFmtId="169" fontId="0" fillId="0" borderId="0" xfId="1" applyNumberFormat="1" applyFont="1" applyAlignment="1">
      <alignment horizontal="left"/>
    </xf>
    <xf numFmtId="0" fontId="0" fillId="0" borderId="16" xfId="0" applyBorder="1"/>
    <xf numFmtId="169" fontId="0" fillId="0" borderId="17" xfId="1" applyNumberFormat="1" applyFont="1" applyBorder="1" applyAlignment="1">
      <alignment horizontal="left"/>
    </xf>
    <xf numFmtId="1" fontId="14" fillId="0" borderId="0" xfId="0" applyNumberFormat="1" applyFont="1"/>
    <xf numFmtId="0" fontId="12" fillId="0" borderId="16" xfId="0" applyFont="1" applyBorder="1" applyAlignment="1">
      <alignment horizontal="left"/>
    </xf>
    <xf numFmtId="0" fontId="10" fillId="0" borderId="16" xfId="0" applyFont="1" applyBorder="1" applyAlignment="1">
      <alignment horizontal="left" indent="1"/>
    </xf>
    <xf numFmtId="169" fontId="10" fillId="0" borderId="17" xfId="1" applyNumberFormat="1" applyFont="1" applyBorder="1" applyAlignment="1">
      <alignment horizontal="left"/>
    </xf>
    <xf numFmtId="165" fontId="10" fillId="0" borderId="0" xfId="0" applyNumberFormat="1" applyFont="1"/>
    <xf numFmtId="165" fontId="0" fillId="0" borderId="0" xfId="0" applyNumberFormat="1"/>
    <xf numFmtId="0" fontId="19" fillId="0" borderId="16" xfId="0" applyFont="1" applyBorder="1" applyAlignment="1">
      <alignment horizontal="left" indent="1"/>
    </xf>
    <xf numFmtId="165" fontId="19" fillId="0" borderId="0" xfId="0" applyNumberFormat="1" applyFont="1"/>
    <xf numFmtId="1" fontId="0" fillId="0" borderId="0" xfId="0" applyNumberFormat="1"/>
    <xf numFmtId="1" fontId="3" fillId="0" borderId="0" xfId="0" applyNumberFormat="1" applyFont="1"/>
    <xf numFmtId="0" fontId="3" fillId="0" borderId="18" xfId="0" applyFont="1" applyBorder="1" applyAlignment="1">
      <alignment horizontal="left" indent="1"/>
    </xf>
    <xf numFmtId="169" fontId="3" fillId="0" borderId="20" xfId="1" applyNumberFormat="1" applyFont="1" applyBorder="1" applyAlignment="1">
      <alignment horizontal="left"/>
    </xf>
    <xf numFmtId="0" fontId="3" fillId="0" borderId="10" xfId="0" applyFont="1" applyBorder="1" applyAlignment="1">
      <alignment horizontal="center"/>
    </xf>
    <xf numFmtId="165" fontId="0" fillId="2" borderId="0" xfId="0" applyNumberFormat="1" applyFill="1"/>
    <xf numFmtId="169" fontId="3" fillId="0" borderId="19" xfId="0" applyNumberFormat="1" applyFont="1" applyBorder="1"/>
    <xf numFmtId="169" fontId="13" fillId="0" borderId="0" xfId="0" applyNumberFormat="1" applyFont="1"/>
    <xf numFmtId="166" fontId="0" fillId="2" borderId="0" xfId="2" applyNumberFormat="1" applyFont="1" applyFill="1"/>
    <xf numFmtId="166" fontId="18" fillId="0" borderId="0" xfId="2" applyNumberFormat="1" applyFont="1" applyFill="1"/>
    <xf numFmtId="0" fontId="20" fillId="0" borderId="7" xfId="0" applyFont="1" applyBorder="1" applyAlignment="1">
      <alignment horizontal="center"/>
    </xf>
    <xf numFmtId="0" fontId="19" fillId="0" borderId="7" xfId="0" applyFont="1" applyBorder="1" applyAlignment="1">
      <alignment horizontal="center"/>
    </xf>
    <xf numFmtId="0" fontId="3" fillId="4" borderId="0" xfId="0" applyFont="1" applyFill="1" applyAlignment="1">
      <alignment horizontal="left"/>
    </xf>
    <xf numFmtId="2" fontId="21" fillId="0" borderId="4" xfId="0" applyNumberFormat="1" applyFont="1" applyBorder="1" applyAlignment="1">
      <alignment horizontal="right"/>
    </xf>
    <xf numFmtId="2" fontId="22" fillId="2" borderId="4" xfId="0" applyNumberFormat="1" applyFont="1" applyFill="1" applyBorder="1" applyAlignment="1">
      <alignment horizontal="center"/>
    </xf>
    <xf numFmtId="2" fontId="21" fillId="2" borderId="4" xfId="0" applyNumberFormat="1" applyFont="1" applyFill="1" applyBorder="1" applyAlignment="1">
      <alignment horizontal="center"/>
    </xf>
    <xf numFmtId="0" fontId="3" fillId="0" borderId="16" xfId="0" applyFont="1" applyBorder="1" applyAlignment="1">
      <alignment horizontal="left" indent="1"/>
    </xf>
    <xf numFmtId="169" fontId="3" fillId="0" borderId="17" xfId="1" applyNumberFormat="1" applyFont="1" applyBorder="1" applyAlignment="1">
      <alignment horizontal="left"/>
    </xf>
    <xf numFmtId="0" fontId="0" fillId="0" borderId="17" xfId="0" applyBorder="1" applyAlignment="1">
      <alignment horizontal="left"/>
    </xf>
    <xf numFmtId="2" fontId="23" fillId="0" borderId="0" xfId="0" applyNumberFormat="1" applyFont="1"/>
    <xf numFmtId="2" fontId="23" fillId="0" borderId="5" xfId="0" applyNumberFormat="1" applyFont="1" applyBorder="1"/>
    <xf numFmtId="2" fontId="14" fillId="0" borderId="0" xfId="0" applyNumberFormat="1" applyFont="1" applyAlignment="1">
      <alignment horizontal="right"/>
    </xf>
    <xf numFmtId="2" fontId="14" fillId="0" borderId="5" xfId="0" applyNumberFormat="1" applyFont="1" applyBorder="1" applyAlignment="1">
      <alignment horizontal="right"/>
    </xf>
    <xf numFmtId="2" fontId="19" fillId="2" borderId="0" xfId="0" applyNumberFormat="1" applyFont="1" applyFill="1" applyAlignment="1">
      <alignment horizontal="center"/>
    </xf>
    <xf numFmtId="2" fontId="19" fillId="2" borderId="5" xfId="0" applyNumberFormat="1" applyFont="1" applyFill="1" applyBorder="1" applyAlignment="1">
      <alignment horizontal="center"/>
    </xf>
    <xf numFmtId="2" fontId="14" fillId="2" borderId="0" xfId="0" applyNumberFormat="1" applyFont="1" applyFill="1" applyAlignment="1">
      <alignment horizontal="center"/>
    </xf>
    <xf numFmtId="2" fontId="14" fillId="2" borderId="5" xfId="0" applyNumberFormat="1" applyFont="1" applyFill="1" applyBorder="1" applyAlignment="1">
      <alignment horizontal="center"/>
    </xf>
    <xf numFmtId="0" fontId="3" fillId="0" borderId="16" xfId="0" applyFont="1" applyBorder="1"/>
    <xf numFmtId="0" fontId="3" fillId="0" borderId="17" xfId="0" applyFont="1" applyBorder="1" applyAlignment="1">
      <alignment horizontal="center"/>
    </xf>
    <xf numFmtId="165" fontId="0" fillId="0" borderId="0" xfId="0" applyNumberFormat="1" applyAlignment="1">
      <alignment horizontal="center"/>
    </xf>
    <xf numFmtId="0" fontId="0" fillId="0" borderId="18" xfId="0" applyBorder="1" applyAlignment="1">
      <alignment horizontal="left" indent="1"/>
    </xf>
    <xf numFmtId="0" fontId="12" fillId="0" borderId="16" xfId="0" applyFont="1" applyBorder="1" applyAlignment="1">
      <alignment horizontal="center"/>
    </xf>
    <xf numFmtId="0" fontId="12" fillId="0" borderId="0" xfId="0" applyFont="1" applyAlignment="1">
      <alignment horizontal="center"/>
    </xf>
    <xf numFmtId="0" fontId="12" fillId="0" borderId="17"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0" fillId="0" borderId="19" xfId="0" applyBorder="1"/>
    <xf numFmtId="0" fontId="0" fillId="0" borderId="20" xfId="0" applyBorder="1" applyAlignment="1">
      <alignment horizontal="center"/>
    </xf>
    <xf numFmtId="1" fontId="2" fillId="0" borderId="0" xfId="0" applyNumberFormat="1" applyFont="1"/>
    <xf numFmtId="8" fontId="18" fillId="0" borderId="0" xfId="0" applyNumberFormat="1" applyFont="1"/>
    <xf numFmtId="0" fontId="24" fillId="0" borderId="7" xfId="0" applyFont="1" applyBorder="1"/>
    <xf numFmtId="0" fontId="28" fillId="0" borderId="7" xfId="0" applyFont="1" applyBorder="1"/>
    <xf numFmtId="0" fontId="24" fillId="0" borderId="8" xfId="0" applyFont="1" applyBorder="1"/>
    <xf numFmtId="0" fontId="18" fillId="0" borderId="5" xfId="0" applyFont="1" applyBorder="1"/>
    <xf numFmtId="0" fontId="18" fillId="6" borderId="0" xfId="0" applyFont="1" applyFill="1"/>
    <xf numFmtId="0" fontId="23" fillId="6" borderId="0" xfId="0" applyFont="1" applyFill="1"/>
    <xf numFmtId="0" fontId="26" fillId="0" borderId="0" xfId="0" applyFont="1"/>
    <xf numFmtId="0" fontId="24" fillId="5" borderId="10" xfId="0" applyFont="1" applyFill="1" applyBorder="1"/>
    <xf numFmtId="0" fontId="18" fillId="0" borderId="9" xfId="0" applyFont="1" applyBorder="1"/>
    <xf numFmtId="0" fontId="20" fillId="0" borderId="9" xfId="0" applyFont="1" applyBorder="1"/>
    <xf numFmtId="8" fontId="20" fillId="0" borderId="9" xfId="0" applyNumberFormat="1" applyFont="1" applyBorder="1"/>
    <xf numFmtId="0" fontId="9" fillId="0" borderId="0" xfId="0" applyFont="1" applyAlignment="1">
      <alignment horizontal="center"/>
    </xf>
    <xf numFmtId="0" fontId="23" fillId="7" borderId="0" xfId="0" applyFont="1" applyFill="1"/>
    <xf numFmtId="0" fontId="28" fillId="7" borderId="0" xfId="0" applyFont="1" applyFill="1"/>
    <xf numFmtId="0" fontId="24" fillId="0" borderId="0" xfId="0" applyFont="1"/>
    <xf numFmtId="0" fontId="30" fillId="6" borderId="0" xfId="0" applyFont="1" applyFill="1"/>
    <xf numFmtId="8" fontId="23" fillId="7" borderId="0" xfId="0" applyNumberFormat="1" applyFont="1" applyFill="1"/>
    <xf numFmtId="8" fontId="31" fillId="7" borderId="0" xfId="0" applyNumberFormat="1" applyFont="1" applyFill="1"/>
    <xf numFmtId="0" fontId="32" fillId="0" borderId="16" xfId="0" applyFont="1" applyBorder="1"/>
    <xf numFmtId="0" fontId="33" fillId="0" borderId="16" xfId="0" applyFont="1" applyBorder="1"/>
    <xf numFmtId="0" fontId="33" fillId="0" borderId="0" xfId="0" applyFont="1"/>
    <xf numFmtId="8" fontId="33" fillId="0" borderId="0" xfId="0" applyNumberFormat="1" applyFont="1"/>
    <xf numFmtId="8" fontId="32" fillId="0" borderId="0" xfId="0" applyNumberFormat="1" applyFont="1"/>
    <xf numFmtId="0" fontId="34" fillId="0" borderId="16" xfId="0" applyFont="1" applyBorder="1"/>
    <xf numFmtId="0" fontId="32" fillId="0" borderId="7" xfId="0" applyFont="1" applyBorder="1"/>
    <xf numFmtId="0" fontId="33" fillId="0" borderId="18" xfId="0" applyFont="1" applyBorder="1"/>
    <xf numFmtId="0" fontId="33" fillId="0" borderId="19" xfId="0" applyFont="1" applyBorder="1"/>
    <xf numFmtId="8" fontId="33" fillId="0" borderId="19" xfId="0" applyNumberFormat="1" applyFont="1" applyBorder="1"/>
    <xf numFmtId="0" fontId="32" fillId="0" borderId="26" xfId="0" applyFont="1" applyBorder="1"/>
    <xf numFmtId="0" fontId="18" fillId="0" borderId="0" xfId="0" applyFont="1"/>
    <xf numFmtId="44" fontId="0" fillId="0" borderId="0" xfId="0" applyNumberFormat="1"/>
    <xf numFmtId="8" fontId="0" fillId="0" borderId="0" xfId="0" applyNumberFormat="1"/>
    <xf numFmtId="8" fontId="0" fillId="2" borderId="0" xfId="0" applyNumberFormat="1" applyFill="1"/>
    <xf numFmtId="44" fontId="0" fillId="0" borderId="0" xfId="2" applyFont="1" applyFill="1"/>
    <xf numFmtId="0" fontId="0" fillId="0" borderId="0" xfId="0" applyAlignment="1">
      <alignment horizontal="left"/>
    </xf>
    <xf numFmtId="0" fontId="0" fillId="3" borderId="0" xfId="0" applyFill="1" applyAlignment="1">
      <alignment horizontal="left"/>
    </xf>
    <xf numFmtId="8" fontId="23" fillId="0" borderId="0" xfId="0" applyNumberFormat="1" applyFont="1"/>
    <xf numFmtId="6" fontId="23" fillId="0" borderId="0" xfId="0" applyNumberFormat="1" applyFont="1"/>
    <xf numFmtId="170" fontId="14" fillId="0" borderId="0" xfId="0" applyNumberFormat="1" applyFont="1" applyAlignment="1">
      <alignment horizontal="center"/>
    </xf>
    <xf numFmtId="0" fontId="14" fillId="0" borderId="20" xfId="0" applyFont="1" applyBorder="1" applyAlignment="1">
      <alignment horizontal="left"/>
    </xf>
    <xf numFmtId="0" fontId="14" fillId="0" borderId="19" xfId="0" applyFont="1" applyBorder="1" applyAlignment="1">
      <alignment horizontal="center"/>
    </xf>
    <xf numFmtId="170" fontId="14" fillId="0" borderId="19" xfId="0" applyNumberFormat="1" applyFont="1" applyBorder="1" applyAlignment="1">
      <alignment horizontal="center"/>
    </xf>
    <xf numFmtId="0" fontId="14" fillId="0" borderId="19" xfId="0" applyFont="1" applyBorder="1"/>
    <xf numFmtId="0" fontId="14" fillId="0" borderId="18" xfId="0" applyFont="1" applyBorder="1"/>
    <xf numFmtId="0" fontId="14" fillId="0" borderId="17" xfId="0" applyFont="1" applyBorder="1" applyAlignment="1">
      <alignment horizontal="left"/>
    </xf>
    <xf numFmtId="0" fontId="14" fillId="0" borderId="16" xfId="0" applyFont="1" applyBorder="1"/>
    <xf numFmtId="0" fontId="0" fillId="0" borderId="17" xfId="0" applyBorder="1"/>
    <xf numFmtId="0" fontId="35" fillId="0" borderId="0" xfId="0" applyFont="1"/>
    <xf numFmtId="0" fontId="36" fillId="0" borderId="17" xfId="0" applyFont="1" applyBorder="1"/>
    <xf numFmtId="171" fontId="14" fillId="0" borderId="0" xfId="0" applyNumberFormat="1" applyFont="1"/>
    <xf numFmtId="0" fontId="14" fillId="0" borderId="17" xfId="0" applyFont="1" applyBorder="1"/>
    <xf numFmtId="0" fontId="0" fillId="0" borderId="23" xfId="0" applyBorder="1"/>
    <xf numFmtId="0" fontId="0" fillId="0" borderId="23" xfId="0" applyBorder="1" applyAlignment="1">
      <alignment horizontal="center"/>
    </xf>
    <xf numFmtId="0" fontId="0" fillId="0" borderId="7" xfId="0" applyBorder="1" applyAlignment="1">
      <alignment horizontal="center"/>
    </xf>
    <xf numFmtId="0" fontId="0" fillId="0" borderId="0" xfId="0" applyAlignment="1">
      <alignment horizontal="center" wrapText="1"/>
    </xf>
    <xf numFmtId="0" fontId="19" fillId="0" borderId="0" xfId="0" applyFont="1"/>
    <xf numFmtId="0" fontId="14" fillId="0" borderId="30" xfId="0" applyFont="1" applyBorder="1" applyAlignment="1">
      <alignment horizontal="center"/>
    </xf>
    <xf numFmtId="0" fontId="14" fillId="0" borderId="30" xfId="0" applyFont="1" applyBorder="1"/>
    <xf numFmtId="0" fontId="19" fillId="0" borderId="30" xfId="0" applyFont="1" applyBorder="1"/>
    <xf numFmtId="0" fontId="39" fillId="0" borderId="0" xfId="0" applyFont="1"/>
    <xf numFmtId="165" fontId="3" fillId="0" borderId="0" xfId="0" applyNumberFormat="1" applyFont="1"/>
    <xf numFmtId="166" fontId="3" fillId="0" borderId="0" xfId="2" applyNumberFormat="1" applyFont="1" applyAlignment="1">
      <alignment horizontal="center"/>
    </xf>
    <xf numFmtId="0" fontId="3" fillId="9" borderId="0" xfId="0" applyFont="1" applyFill="1"/>
    <xf numFmtId="164" fontId="0" fillId="0" borderId="0" xfId="5" applyNumberFormat="1" applyFont="1"/>
    <xf numFmtId="166" fontId="0" fillId="0" borderId="0" xfId="2" applyNumberFormat="1" applyFont="1" applyAlignment="1">
      <alignment horizontal="center"/>
    </xf>
    <xf numFmtId="166" fontId="42" fillId="0" borderId="0" xfId="0" applyNumberFormat="1" applyFont="1"/>
    <xf numFmtId="164" fontId="0" fillId="0" borderId="30" xfId="5" applyNumberFormat="1" applyFont="1" applyBorder="1"/>
    <xf numFmtId="0" fontId="0" fillId="0" borderId="30" xfId="0" applyBorder="1"/>
    <xf numFmtId="0" fontId="42" fillId="0" borderId="0" xfId="0" applyFont="1"/>
    <xf numFmtId="2" fontId="2" fillId="0" borderId="4" xfId="0" applyNumberFormat="1" applyFont="1" applyBorder="1" applyAlignment="1">
      <alignment horizontal="right"/>
    </xf>
    <xf numFmtId="2" fontId="2" fillId="0" borderId="0" xfId="0" applyNumberFormat="1" applyFont="1" applyAlignment="1">
      <alignment horizontal="right"/>
    </xf>
    <xf numFmtId="2" fontId="2" fillId="0" borderId="5" xfId="0" applyNumberFormat="1" applyFont="1" applyBorder="1" applyAlignment="1">
      <alignment horizontal="right"/>
    </xf>
    <xf numFmtId="165" fontId="43" fillId="0" borderId="0" xfId="0" applyNumberFormat="1" applyFont="1"/>
    <xf numFmtId="0" fontId="43" fillId="0" borderId="0" xfId="0" applyFont="1"/>
    <xf numFmtId="2" fontId="2" fillId="0" borderId="0" xfId="0" applyNumberFormat="1" applyFont="1"/>
    <xf numFmtId="0" fontId="2" fillId="0" borderId="0" xfId="1" applyNumberFormat="1" applyFont="1" applyAlignment="1">
      <alignment horizontal="left"/>
    </xf>
    <xf numFmtId="164" fontId="2" fillId="0" borderId="4" xfId="0" applyNumberFormat="1" applyFont="1" applyBorder="1"/>
    <xf numFmtId="0" fontId="2" fillId="0" borderId="5" xfId="0" applyFont="1" applyBorder="1"/>
    <xf numFmtId="8" fontId="2" fillId="0" borderId="0" xfId="0" applyNumberFormat="1" applyFont="1"/>
    <xf numFmtId="0" fontId="2" fillId="0" borderId="0" xfId="0" quotePrefix="1" applyFont="1"/>
    <xf numFmtId="44" fontId="2" fillId="0" borderId="0" xfId="0" applyNumberFormat="1" applyFont="1"/>
    <xf numFmtId="2" fontId="21" fillId="0" borderId="0" xfId="0" applyNumberFormat="1" applyFont="1" applyAlignment="1">
      <alignment horizontal="right"/>
    </xf>
    <xf numFmtId="1" fontId="14" fillId="0" borderId="30" xfId="0" applyNumberFormat="1" applyFont="1" applyBorder="1" applyAlignment="1">
      <alignment horizontal="center"/>
    </xf>
    <xf numFmtId="0" fontId="0" fillId="0" borderId="0" xfId="0" applyAlignment="1">
      <alignment vertical="center"/>
    </xf>
    <xf numFmtId="166" fontId="0" fillId="0" borderId="0" xfId="0" applyNumberFormat="1"/>
    <xf numFmtId="166" fontId="3" fillId="0" borderId="0" xfId="0" applyNumberFormat="1" applyFont="1"/>
    <xf numFmtId="166" fontId="0" fillId="0" borderId="0" xfId="9" applyNumberFormat="1" applyFont="1"/>
    <xf numFmtId="0" fontId="3" fillId="0" borderId="0" xfId="0" applyFont="1" applyAlignment="1">
      <alignment horizontal="right"/>
    </xf>
    <xf numFmtId="2" fontId="0" fillId="0" borderId="0" xfId="1" applyNumberFormat="1" applyFont="1" applyAlignment="1">
      <alignment horizontal="center" vertical="center"/>
    </xf>
    <xf numFmtId="0" fontId="12" fillId="0" borderId="0" xfId="0" applyFont="1"/>
    <xf numFmtId="1" fontId="14" fillId="0" borderId="0" xfId="0" applyNumberFormat="1" applyFont="1" applyAlignment="1">
      <alignment horizontal="center"/>
    </xf>
    <xf numFmtId="165" fontId="14" fillId="0" borderId="0" xfId="0" applyNumberFormat="1" applyFont="1" applyAlignment="1">
      <alignment horizontal="center"/>
    </xf>
    <xf numFmtId="0" fontId="0" fillId="0" borderId="0" xfId="0" applyAlignment="1">
      <alignment horizontal="right"/>
    </xf>
    <xf numFmtId="165" fontId="16" fillId="0" borderId="0" xfId="0" applyNumberFormat="1" applyFont="1" applyAlignment="1">
      <alignment horizontal="center"/>
    </xf>
    <xf numFmtId="2" fontId="14" fillId="0" borderId="4" xfId="0" applyNumberFormat="1" applyFont="1" applyBorder="1" applyAlignment="1">
      <alignment horizontal="right"/>
    </xf>
    <xf numFmtId="165" fontId="16" fillId="0" borderId="0" xfId="0" applyNumberFormat="1" applyFont="1"/>
    <xf numFmtId="169" fontId="16" fillId="0" borderId="0" xfId="0" applyNumberFormat="1" applyFont="1"/>
    <xf numFmtId="0" fontId="16" fillId="0" borderId="0" xfId="0" applyFont="1"/>
    <xf numFmtId="2" fontId="14" fillId="0" borderId="0" xfId="0" applyNumberFormat="1" applyFont="1"/>
    <xf numFmtId="165" fontId="14" fillId="0" borderId="0" xfId="0" applyNumberFormat="1" applyFont="1"/>
    <xf numFmtId="0" fontId="14" fillId="0" borderId="0" xfId="1" applyNumberFormat="1" applyFont="1" applyAlignment="1">
      <alignment horizontal="left"/>
    </xf>
    <xf numFmtId="164" fontId="14" fillId="0" borderId="4" xfId="0" applyNumberFormat="1" applyFont="1" applyBorder="1"/>
    <xf numFmtId="0" fontId="14" fillId="0" borderId="5" xfId="0" applyFont="1" applyBorder="1"/>
    <xf numFmtId="8" fontId="14" fillId="0" borderId="0" xfId="0" applyNumberFormat="1" applyFont="1"/>
    <xf numFmtId="0" fontId="14" fillId="0" borderId="0" xfId="0" quotePrefix="1" applyFont="1"/>
    <xf numFmtId="44" fontId="14" fillId="0" borderId="0" xfId="0" applyNumberFormat="1" applyFont="1"/>
    <xf numFmtId="6" fontId="14" fillId="0" borderId="0" xfId="0" applyNumberFormat="1" applyFont="1"/>
    <xf numFmtId="0" fontId="0" fillId="0" borderId="0" xfId="0" applyAlignment="1">
      <alignment vertical="top"/>
    </xf>
    <xf numFmtId="0" fontId="0" fillId="0" borderId="4" xfId="0" applyBorder="1"/>
    <xf numFmtId="0" fontId="0" fillId="0" borderId="6" xfId="0" applyBorder="1"/>
    <xf numFmtId="0" fontId="19" fillId="0" borderId="30" xfId="0" applyFont="1" applyBorder="1" applyAlignment="1">
      <alignment horizontal="center"/>
    </xf>
    <xf numFmtId="14" fontId="3" fillId="0" borderId="0" xfId="0" applyNumberFormat="1" applyFont="1"/>
    <xf numFmtId="4" fontId="0" fillId="0" borderId="0" xfId="0" applyNumberFormat="1"/>
    <xf numFmtId="4" fontId="0" fillId="0" borderId="0" xfId="0" applyNumberFormat="1" applyAlignment="1">
      <alignment horizontal="center"/>
    </xf>
    <xf numFmtId="166" fontId="14" fillId="0" borderId="0" xfId="0" applyNumberFormat="1" applyFont="1"/>
    <xf numFmtId="0" fontId="0" fillId="0" borderId="0" xfId="0" applyAlignment="1">
      <alignment wrapText="1"/>
    </xf>
    <xf numFmtId="43" fontId="0" fillId="0" borderId="0" xfId="0" applyNumberFormat="1"/>
    <xf numFmtId="0" fontId="14" fillId="0" borderId="4" xfId="0" applyFont="1" applyBorder="1" applyAlignment="1">
      <alignment horizontal="right"/>
    </xf>
    <xf numFmtId="0" fontId="35" fillId="0" borderId="0" xfId="0" applyFont="1" applyAlignment="1">
      <alignment horizontal="left"/>
    </xf>
    <xf numFmtId="0" fontId="35" fillId="0" borderId="0" xfId="0" applyFont="1" applyAlignment="1">
      <alignment horizontal="right"/>
    </xf>
    <xf numFmtId="170" fontId="35" fillId="0" borderId="0" xfId="0" applyNumberFormat="1" applyFont="1" applyAlignment="1">
      <alignment horizontal="center"/>
    </xf>
    <xf numFmtId="0" fontId="35" fillId="0" borderId="4" xfId="0" applyFont="1" applyBorder="1" applyAlignment="1">
      <alignment horizontal="right"/>
    </xf>
    <xf numFmtId="170" fontId="12" fillId="0" borderId="0" xfId="0" applyNumberFormat="1" applyFont="1" applyAlignment="1">
      <alignment horizontal="left"/>
    </xf>
    <xf numFmtId="164" fontId="0" fillId="0" borderId="0" xfId="1" applyNumberFormat="1" applyFont="1" applyAlignment="1">
      <alignment horizontal="right"/>
    </xf>
    <xf numFmtId="164" fontId="0" fillId="0" borderId="0" xfId="1" applyNumberFormat="1" applyFont="1" applyFill="1" applyAlignment="1">
      <alignment horizontal="right"/>
    </xf>
    <xf numFmtId="164" fontId="0" fillId="0" borderId="0" xfId="1" applyNumberFormat="1" applyFont="1" applyFill="1"/>
    <xf numFmtId="165" fontId="5" fillId="0" borderId="0" xfId="0" applyNumberFormat="1" applyFont="1"/>
    <xf numFmtId="3" fontId="0" fillId="0" borderId="0" xfId="0" applyNumberFormat="1" applyAlignment="1">
      <alignment horizontal="center"/>
    </xf>
    <xf numFmtId="172" fontId="0" fillId="0" borderId="0" xfId="0" applyNumberFormat="1" applyAlignment="1">
      <alignment horizontal="center"/>
    </xf>
    <xf numFmtId="2" fontId="0" fillId="0" borderId="0" xfId="0" applyNumberFormat="1" applyAlignment="1">
      <alignment horizontal="center"/>
    </xf>
    <xf numFmtId="3" fontId="0" fillId="0" borderId="7" xfId="5" applyNumberFormat="1" applyFont="1" applyBorder="1" applyAlignment="1">
      <alignment horizontal="center"/>
    </xf>
    <xf numFmtId="3" fontId="0" fillId="0" borderId="7" xfId="0" applyNumberFormat="1" applyBorder="1" applyAlignment="1">
      <alignment horizontal="center"/>
    </xf>
    <xf numFmtId="1" fontId="0" fillId="0" borderId="7" xfId="0" applyNumberFormat="1" applyBorder="1" applyAlignment="1">
      <alignment horizontal="center"/>
    </xf>
    <xf numFmtId="49" fontId="0" fillId="0" borderId="0" xfId="0" applyNumberFormat="1"/>
    <xf numFmtId="0" fontId="37" fillId="0" borderId="0" xfId="0" applyFont="1"/>
    <xf numFmtId="166" fontId="0" fillId="0" borderId="7" xfId="9" applyNumberFormat="1" applyFont="1" applyBorder="1"/>
    <xf numFmtId="164" fontId="48" fillId="0" borderId="0" xfId="5" applyNumberFormat="1" applyFont="1"/>
    <xf numFmtId="166" fontId="0" fillId="0" borderId="0" xfId="9" applyNumberFormat="1" applyFont="1" applyProtection="1"/>
    <xf numFmtId="0" fontId="14" fillId="0" borderId="7" xfId="0" applyFont="1" applyBorder="1"/>
    <xf numFmtId="166" fontId="0" fillId="0" borderId="0" xfId="2" applyNumberFormat="1" applyFont="1" applyBorder="1"/>
    <xf numFmtId="165" fontId="40" fillId="0" borderId="0" xfId="0" applyNumberFormat="1" applyFont="1"/>
    <xf numFmtId="0" fontId="10" fillId="0" borderId="0" xfId="0" applyFont="1" applyAlignment="1">
      <alignment horizontal="left"/>
    </xf>
    <xf numFmtId="0" fontId="3" fillId="0" borderId="0" xfId="0" applyFont="1" applyAlignment="1">
      <alignment horizontal="center" wrapText="1"/>
    </xf>
    <xf numFmtId="0" fontId="44" fillId="0" borderId="0" xfId="10" applyFill="1" applyAlignment="1">
      <alignment horizontal="left"/>
    </xf>
    <xf numFmtId="1" fontId="14" fillId="0" borderId="0" xfId="0" applyNumberFormat="1" applyFont="1" applyAlignment="1">
      <alignment horizontal="left"/>
    </xf>
    <xf numFmtId="166" fontId="0" fillId="0" borderId="0" xfId="0" applyNumberFormat="1" applyAlignment="1">
      <alignment horizontal="center"/>
    </xf>
    <xf numFmtId="168" fontId="31" fillId="0" borderId="0" xfId="0" applyNumberFormat="1" applyFont="1"/>
    <xf numFmtId="0" fontId="50" fillId="0" borderId="0" xfId="0" applyFont="1"/>
    <xf numFmtId="0" fontId="52" fillId="0" borderId="0" xfId="0" applyFont="1"/>
    <xf numFmtId="166" fontId="53" fillId="0" borderId="0" xfId="0" applyNumberFormat="1" applyFont="1"/>
    <xf numFmtId="1" fontId="0" fillId="0" borderId="0" xfId="0" applyNumberFormat="1" applyAlignment="1">
      <alignment horizontal="center"/>
    </xf>
    <xf numFmtId="1" fontId="0" fillId="0" borderId="30" xfId="0" applyNumberFormat="1" applyBorder="1"/>
    <xf numFmtId="164" fontId="0" fillId="0" borderId="30" xfId="5" applyNumberFormat="1" applyFont="1" applyBorder="1" applyAlignment="1">
      <alignment horizontal="left"/>
    </xf>
    <xf numFmtId="0" fontId="37" fillId="0" borderId="0" xfId="0" applyFont="1" applyAlignment="1">
      <alignment wrapText="1"/>
    </xf>
    <xf numFmtId="3" fontId="14" fillId="0" borderId="0" xfId="0" applyNumberFormat="1" applyFont="1" applyAlignment="1">
      <alignment horizontal="center"/>
    </xf>
    <xf numFmtId="3" fontId="0" fillId="0" borderId="0" xfId="1" applyNumberFormat="1" applyFont="1" applyAlignment="1">
      <alignment horizontal="center"/>
    </xf>
    <xf numFmtId="3" fontId="14" fillId="0" borderId="0" xfId="0" applyNumberFormat="1" applyFont="1" applyAlignment="1">
      <alignment horizontal="center" wrapText="1"/>
    </xf>
    <xf numFmtId="3" fontId="14" fillId="0" borderId="0" xfId="1" applyNumberFormat="1" applyFont="1" applyAlignment="1">
      <alignment horizontal="center" wrapText="1"/>
    </xf>
    <xf numFmtId="3" fontId="48" fillId="0" borderId="0" xfId="1" applyNumberFormat="1" applyFont="1" applyAlignment="1">
      <alignment horizontal="center"/>
    </xf>
    <xf numFmtId="3" fontId="37" fillId="0" borderId="0" xfId="0" applyNumberFormat="1" applyFont="1" applyAlignment="1">
      <alignment horizontal="center"/>
    </xf>
    <xf numFmtId="3" fontId="37" fillId="0" borderId="0" xfId="1" applyNumberFormat="1" applyFont="1" applyAlignment="1">
      <alignment horizontal="center" vertical="justify"/>
    </xf>
    <xf numFmtId="164" fontId="14" fillId="0" borderId="0" xfId="0" applyNumberFormat="1" applyFont="1"/>
    <xf numFmtId="0" fontId="14" fillId="0" borderId="0" xfId="0" applyFont="1" applyAlignment="1">
      <alignment horizontal="left"/>
    </xf>
    <xf numFmtId="0" fontId="14" fillId="0" borderId="7" xfId="0" applyFont="1" applyBorder="1" applyAlignment="1">
      <alignment horizontal="center"/>
    </xf>
    <xf numFmtId="164" fontId="14" fillId="0" borderId="30" xfId="1" applyNumberFormat="1" applyFont="1" applyFill="1" applyBorder="1"/>
    <xf numFmtId="164" fontId="14" fillId="0" borderId="30" xfId="1" applyNumberFormat="1" applyFont="1" applyFill="1" applyBorder="1" applyAlignment="1">
      <alignment horizontal="center"/>
    </xf>
    <xf numFmtId="164" fontId="14" fillId="0" borderId="30" xfId="5" applyNumberFormat="1" applyFont="1" applyFill="1" applyBorder="1"/>
    <xf numFmtId="8" fontId="54" fillId="0" borderId="0" xfId="0" applyNumberFormat="1" applyFont="1"/>
    <xf numFmtId="0" fontId="54" fillId="0" borderId="0" xfId="0" applyFont="1"/>
    <xf numFmtId="1" fontId="14" fillId="0" borderId="0" xfId="1" applyNumberFormat="1" applyFont="1" applyFill="1" applyAlignment="1">
      <alignment horizontal="left"/>
    </xf>
    <xf numFmtId="2" fontId="14" fillId="0" borderId="0" xfId="1" applyNumberFormat="1" applyFont="1" applyFill="1" applyAlignment="1">
      <alignment horizontal="left"/>
    </xf>
    <xf numFmtId="165" fontId="14" fillId="0" borderId="0" xfId="0" applyNumberFormat="1" applyFont="1" applyAlignment="1">
      <alignment horizontal="left"/>
    </xf>
    <xf numFmtId="6" fontId="3" fillId="0" borderId="0" xfId="0" applyNumberFormat="1" applyFont="1"/>
    <xf numFmtId="0" fontId="0" fillId="0" borderId="3" xfId="0" applyBorder="1" applyAlignment="1">
      <alignment horizontal="center"/>
    </xf>
    <xf numFmtId="0" fontId="56" fillId="0" borderId="4" xfId="0" applyFont="1" applyBorder="1" applyAlignment="1">
      <alignment horizontal="center"/>
    </xf>
    <xf numFmtId="0" fontId="0" fillId="0" borderId="5" xfId="0" applyBorder="1" applyAlignment="1">
      <alignment horizontal="center"/>
    </xf>
    <xf numFmtId="0" fontId="10" fillId="0" borderId="4" xfId="0" applyFont="1" applyBorder="1" applyAlignment="1">
      <alignment horizontal="right"/>
    </xf>
    <xf numFmtId="0" fontId="0" fillId="0" borderId="4" xfId="0" applyBorder="1" applyAlignment="1">
      <alignment horizontal="right"/>
    </xf>
    <xf numFmtId="0" fontId="0" fillId="0" borderId="8" xfId="0" applyBorder="1" applyAlignment="1">
      <alignment horizontal="center"/>
    </xf>
    <xf numFmtId="0" fontId="57" fillId="0" borderId="0" xfId="0" applyFont="1"/>
    <xf numFmtId="2" fontId="19" fillId="2" borderId="4" xfId="0" applyNumberFormat="1" applyFont="1" applyFill="1" applyBorder="1" applyAlignment="1">
      <alignment horizontal="center"/>
    </xf>
    <xf numFmtId="0" fontId="19" fillId="2" borderId="0" xfId="0" applyFont="1" applyFill="1"/>
    <xf numFmtId="0" fontId="19" fillId="2" borderId="4" xfId="0" applyFont="1" applyFill="1" applyBorder="1"/>
    <xf numFmtId="0" fontId="19" fillId="2" borderId="5" xfId="0" applyFont="1" applyFill="1" applyBorder="1"/>
    <xf numFmtId="8" fontId="14" fillId="2" borderId="0" xfId="0" applyNumberFormat="1" applyFont="1" applyFill="1"/>
    <xf numFmtId="44" fontId="14" fillId="2" borderId="0" xfId="0" applyNumberFormat="1" applyFont="1" applyFill="1"/>
    <xf numFmtId="2" fontId="23" fillId="0" borderId="4" xfId="0" applyNumberFormat="1" applyFont="1" applyBorder="1"/>
    <xf numFmtId="164" fontId="16" fillId="0" borderId="0" xfId="0" applyNumberFormat="1" applyFont="1"/>
    <xf numFmtId="168" fontId="23" fillId="0" borderId="0" xfId="0" applyNumberFormat="1" applyFont="1"/>
    <xf numFmtId="0" fontId="14" fillId="0" borderId="0" xfId="0" applyFont="1" applyAlignment="1">
      <alignment horizontal="left" indent="3"/>
    </xf>
    <xf numFmtId="0" fontId="58" fillId="0" borderId="0" xfId="0" applyFont="1" applyAlignment="1">
      <alignment horizontal="left"/>
    </xf>
    <xf numFmtId="166" fontId="58" fillId="0" borderId="0" xfId="2" applyNumberFormat="1" applyFont="1" applyFill="1"/>
    <xf numFmtId="0" fontId="3" fillId="0" borderId="30" xfId="0" applyFont="1" applyBorder="1" applyAlignment="1">
      <alignment horizontal="center"/>
    </xf>
    <xf numFmtId="0" fontId="59" fillId="0" borderId="0" xfId="0" applyFont="1"/>
    <xf numFmtId="0" fontId="14" fillId="0" borderId="30" xfId="0" applyFont="1" applyBorder="1" applyAlignment="1">
      <alignment horizontal="left"/>
    </xf>
    <xf numFmtId="0" fontId="14" fillId="0" borderId="0" xfId="1" applyNumberFormat="1" applyFont="1" applyFill="1" applyAlignment="1">
      <alignment horizontal="left"/>
    </xf>
    <xf numFmtId="0" fontId="0" fillId="0" borderId="30" xfId="0" applyBorder="1" applyAlignment="1">
      <alignment horizontal="center" wrapText="1"/>
    </xf>
    <xf numFmtId="0" fontId="0" fillId="0" borderId="30" xfId="0" applyBorder="1" applyAlignment="1">
      <alignment horizontal="right" wrapText="1"/>
    </xf>
    <xf numFmtId="166" fontId="42" fillId="0" borderId="30" xfId="0" applyNumberFormat="1" applyFont="1" applyBorder="1" applyAlignment="1">
      <alignment horizontal="right"/>
    </xf>
    <xf numFmtId="164" fontId="14" fillId="0" borderId="30" xfId="0" applyNumberFormat="1" applyFont="1" applyBorder="1" applyAlignment="1">
      <alignment horizontal="right"/>
    </xf>
    <xf numFmtId="164" fontId="14" fillId="0" borderId="30" xfId="1" applyNumberFormat="1" applyFont="1" applyFill="1" applyBorder="1" applyAlignment="1">
      <alignment horizontal="right"/>
    </xf>
    <xf numFmtId="0" fontId="0" fillId="0" borderId="0" xfId="0" applyAlignment="1">
      <alignment horizontal="center" vertical="top"/>
    </xf>
    <xf numFmtId="0" fontId="19" fillId="3" borderId="0" xfId="0" applyFont="1" applyFill="1"/>
    <xf numFmtId="164" fontId="0" fillId="0" borderId="30" xfId="1" applyNumberFormat="1" applyFont="1" applyFill="1" applyBorder="1" applyAlignment="1">
      <alignment horizontal="center"/>
    </xf>
    <xf numFmtId="0" fontId="3" fillId="0" borderId="30" xfId="0" applyFont="1" applyBorder="1"/>
    <xf numFmtId="0" fontId="3" fillId="0" borderId="30" xfId="0" applyFont="1" applyBorder="1" applyAlignment="1">
      <alignment horizontal="center" vertical="top"/>
    </xf>
    <xf numFmtId="0" fontId="3" fillId="0" borderId="30" xfId="0" applyFont="1" applyBorder="1" applyAlignment="1">
      <alignment horizontal="center" vertical="top" wrapText="1"/>
    </xf>
    <xf numFmtId="164" fontId="19" fillId="0" borderId="30" xfId="1" applyNumberFormat="1" applyFont="1" applyFill="1" applyBorder="1" applyAlignment="1">
      <alignment horizontal="right"/>
    </xf>
    <xf numFmtId="0" fontId="1" fillId="0" borderId="0" xfId="1" applyNumberFormat="1" applyFont="1" applyAlignment="1">
      <alignment horizontal="left"/>
    </xf>
    <xf numFmtId="0" fontId="0" fillId="3" borderId="0" xfId="0" applyFill="1" applyAlignment="1">
      <alignment horizontal="right"/>
    </xf>
    <xf numFmtId="164" fontId="3" fillId="0" borderId="0" xfId="0" applyNumberFormat="1" applyFont="1"/>
    <xf numFmtId="164" fontId="14" fillId="3" borderId="0" xfId="1" applyNumberFormat="1" applyFont="1" applyFill="1" applyAlignment="1">
      <alignment horizontal="right"/>
    </xf>
    <xf numFmtId="164" fontId="0" fillId="3" borderId="0" xfId="1" applyNumberFormat="1" applyFont="1" applyFill="1"/>
    <xf numFmtId="164" fontId="19" fillId="0" borderId="30" xfId="5" applyNumberFormat="1" applyFont="1" applyFill="1" applyBorder="1" applyAlignment="1">
      <alignment horizontal="right"/>
    </xf>
    <xf numFmtId="2" fontId="14" fillId="2" borderId="4" xfId="0" applyNumberFormat="1" applyFont="1" applyFill="1" applyBorder="1" applyAlignment="1">
      <alignment horizontal="center"/>
    </xf>
    <xf numFmtId="165" fontId="14" fillId="2" borderId="0" xfId="0" applyNumberFormat="1" applyFont="1" applyFill="1"/>
    <xf numFmtId="0" fontId="14" fillId="2" borderId="4" xfId="0" applyFont="1" applyFill="1" applyBorder="1"/>
    <xf numFmtId="0" fontId="14" fillId="2" borderId="5" xfId="0" applyFont="1" applyFill="1" applyBorder="1"/>
    <xf numFmtId="0" fontId="51" fillId="0" borderId="0" xfId="0" applyFont="1"/>
    <xf numFmtId="0" fontId="51" fillId="0" borderId="0" xfId="0" applyFont="1" applyAlignment="1">
      <alignment horizontal="center"/>
    </xf>
    <xf numFmtId="166" fontId="51" fillId="0" borderId="0" xfId="0" applyNumberFormat="1" applyFont="1"/>
    <xf numFmtId="0" fontId="0" fillId="0" borderId="30" xfId="0" applyBorder="1" applyAlignment="1">
      <alignment horizontal="center" vertical="top" wrapText="1"/>
    </xf>
    <xf numFmtId="0" fontId="0" fillId="0" borderId="12" xfId="0" applyBorder="1" applyAlignment="1">
      <alignment horizontal="center" vertical="top" wrapText="1"/>
    </xf>
    <xf numFmtId="0" fontId="0" fillId="0" borderId="30" xfId="0" applyBorder="1" applyAlignment="1">
      <alignment vertical="top"/>
    </xf>
    <xf numFmtId="1" fontId="14" fillId="0" borderId="30" xfId="0" applyNumberFormat="1" applyFont="1" applyBorder="1" applyAlignment="1">
      <alignment horizontal="right"/>
    </xf>
    <xf numFmtId="170" fontId="3" fillId="0" borderId="0" xfId="0" applyNumberFormat="1" applyFont="1"/>
    <xf numFmtId="0" fontId="3" fillId="0" borderId="0" xfId="0" applyFont="1" applyAlignment="1">
      <alignment horizontal="right" vertical="top"/>
    </xf>
    <xf numFmtId="0" fontId="3" fillId="0" borderId="0" xfId="0" applyFont="1" applyAlignment="1">
      <alignment horizontal="center" vertical="top"/>
    </xf>
    <xf numFmtId="164" fontId="0" fillId="0" borderId="0" xfId="0" applyNumberFormat="1" applyAlignment="1">
      <alignment horizontal="center"/>
    </xf>
    <xf numFmtId="164" fontId="14" fillId="0" borderId="0" xfId="1" applyNumberFormat="1" applyFont="1" applyFill="1" applyAlignment="1">
      <alignment horizontal="right"/>
    </xf>
    <xf numFmtId="0" fontId="0" fillId="0" borderId="30" xfId="0" applyBorder="1" applyAlignment="1">
      <alignment vertical="top" wrapText="1"/>
    </xf>
    <xf numFmtId="6" fontId="0" fillId="0" borderId="30" xfId="0" applyNumberFormat="1" applyBorder="1" applyAlignment="1">
      <alignment wrapText="1"/>
    </xf>
    <xf numFmtId="170" fontId="3" fillId="0" borderId="0" xfId="0" applyNumberFormat="1" applyFont="1" applyAlignment="1">
      <alignment wrapText="1"/>
    </xf>
    <xf numFmtId="0" fontId="40" fillId="0" borderId="5" xfId="0" applyFont="1" applyBorder="1"/>
    <xf numFmtId="164" fontId="0" fillId="0" borderId="7" xfId="0" applyNumberFormat="1" applyBorder="1" applyAlignment="1">
      <alignment horizontal="center"/>
    </xf>
    <xf numFmtId="166" fontId="3" fillId="0" borderId="0" xfId="2" applyNumberFormat="1" applyFont="1" applyFill="1" applyBorder="1"/>
    <xf numFmtId="0" fontId="37" fillId="0" borderId="1" xfId="0" applyFont="1" applyBorder="1" applyAlignment="1">
      <alignment vertical="top"/>
    </xf>
    <xf numFmtId="0" fontId="37" fillId="0" borderId="2" xfId="0" applyFont="1" applyBorder="1" applyAlignment="1">
      <alignment horizontal="center" vertical="top"/>
    </xf>
    <xf numFmtId="0" fontId="37" fillId="0" borderId="30" xfId="0" applyFont="1" applyBorder="1" applyAlignment="1">
      <alignment horizontal="center" vertical="top" wrapText="1"/>
    </xf>
    <xf numFmtId="166" fontId="0" fillId="0" borderId="0" xfId="2" applyNumberFormat="1" applyFont="1" applyFill="1"/>
    <xf numFmtId="166" fontId="19" fillId="0" borderId="0" xfId="0" applyNumberFormat="1" applyFont="1"/>
    <xf numFmtId="165" fontId="3" fillId="3" borderId="0" xfId="0" applyNumberFormat="1" applyFont="1" applyFill="1"/>
    <xf numFmtId="0" fontId="19" fillId="2" borderId="0" xfId="0" applyFont="1" applyFill="1" applyAlignment="1">
      <alignment horizontal="left" indent="1"/>
    </xf>
    <xf numFmtId="170" fontId="14" fillId="0" borderId="0" xfId="0" applyNumberFormat="1" applyFont="1" applyAlignment="1">
      <alignment horizontal="right"/>
    </xf>
    <xf numFmtId="170" fontId="14" fillId="0" borderId="7" xfId="0" applyNumberFormat="1" applyFont="1" applyBorder="1" applyAlignment="1">
      <alignment horizontal="right"/>
    </xf>
    <xf numFmtId="170" fontId="19" fillId="0" borderId="0" xfId="0" applyNumberFormat="1" applyFont="1" applyAlignment="1">
      <alignment horizontal="right"/>
    </xf>
    <xf numFmtId="166" fontId="3" fillId="0" borderId="0" xfId="2" applyNumberFormat="1" applyFont="1" applyBorder="1"/>
    <xf numFmtId="170" fontId="19" fillId="0" borderId="0" xfId="0" applyNumberFormat="1" applyFont="1"/>
    <xf numFmtId="0" fontId="19" fillId="0" borderId="4" xfId="0" applyFont="1" applyBorder="1" applyAlignment="1">
      <alignment horizontal="right"/>
    </xf>
    <xf numFmtId="0" fontId="14" fillId="3" borderId="0" xfId="0" applyFont="1" applyFill="1"/>
    <xf numFmtId="166" fontId="42" fillId="0" borderId="23" xfId="0" applyNumberFormat="1" applyFont="1" applyBorder="1"/>
    <xf numFmtId="166" fontId="42" fillId="0" borderId="19" xfId="0" applyNumberFormat="1" applyFont="1" applyBorder="1"/>
    <xf numFmtId="0" fontId="0" fillId="0" borderId="29" xfId="0" applyBorder="1" applyAlignment="1">
      <alignment horizontal="center"/>
    </xf>
    <xf numFmtId="6" fontId="14" fillId="0" borderId="30" xfId="0" applyNumberFormat="1" applyFont="1" applyBorder="1"/>
    <xf numFmtId="164" fontId="0" fillId="0" borderId="0" xfId="1" applyNumberFormat="1" applyFont="1" applyFill="1" applyBorder="1" applyAlignment="1">
      <alignment horizontal="center"/>
    </xf>
    <xf numFmtId="170" fontId="0" fillId="0" borderId="0" xfId="0" applyNumberFormat="1"/>
    <xf numFmtId="6" fontId="0" fillId="0" borderId="9" xfId="0" applyNumberFormat="1" applyBorder="1" applyAlignment="1">
      <alignment wrapText="1"/>
    </xf>
    <xf numFmtId="166" fontId="19" fillId="0" borderId="7" xfId="2" applyNumberFormat="1" applyFont="1" applyFill="1" applyBorder="1"/>
    <xf numFmtId="0" fontId="19" fillId="3" borderId="0" xfId="0" applyFont="1" applyFill="1" applyAlignment="1">
      <alignment horizontal="right"/>
    </xf>
    <xf numFmtId="6" fontId="0" fillId="0" borderId="0" xfId="0" applyNumberFormat="1" applyAlignment="1">
      <alignment wrapText="1"/>
    </xf>
    <xf numFmtId="1" fontId="3" fillId="0" borderId="7" xfId="0" applyNumberFormat="1" applyFont="1" applyBorder="1"/>
    <xf numFmtId="6" fontId="0" fillId="0" borderId="10" xfId="0" applyNumberFormat="1" applyBorder="1" applyAlignment="1">
      <alignment wrapText="1"/>
    </xf>
    <xf numFmtId="164" fontId="0" fillId="0" borderId="7" xfId="1" applyNumberFormat="1" applyFont="1" applyFill="1" applyBorder="1" applyAlignment="1">
      <alignment horizontal="center"/>
    </xf>
    <xf numFmtId="6" fontId="14" fillId="0" borderId="7" xfId="0" applyNumberFormat="1" applyFont="1" applyBorder="1"/>
    <xf numFmtId="170" fontId="0" fillId="0" borderId="7" xfId="0" applyNumberFormat="1" applyBorder="1"/>
    <xf numFmtId="2" fontId="0" fillId="0" borderId="0" xfId="2" applyNumberFormat="1" applyFont="1" applyFill="1"/>
    <xf numFmtId="8" fontId="14" fillId="0" borderId="7" xfId="0" applyNumberFormat="1" applyFont="1" applyBorder="1"/>
    <xf numFmtId="166" fontId="0" fillId="0" borderId="7" xfId="2" applyNumberFormat="1" applyFont="1" applyBorder="1" applyAlignment="1">
      <alignment horizontal="center"/>
    </xf>
    <xf numFmtId="166" fontId="3" fillId="0" borderId="0" xfId="2" applyNumberFormat="1" applyFont="1" applyFill="1"/>
    <xf numFmtId="164" fontId="1" fillId="0" borderId="0" xfId="1" applyNumberFormat="1" applyFont="1"/>
    <xf numFmtId="0" fontId="3" fillId="0" borderId="0" xfId="0" applyFont="1" applyAlignment="1">
      <alignment wrapText="1"/>
    </xf>
    <xf numFmtId="0" fontId="45" fillId="2" borderId="0" xfId="0" applyFont="1" applyFill="1"/>
    <xf numFmtId="166" fontId="3" fillId="2" borderId="0" xfId="0" applyNumberFormat="1" applyFont="1" applyFill="1"/>
    <xf numFmtId="0" fontId="10" fillId="0" borderId="0" xfId="0" applyFont="1" applyAlignment="1">
      <alignment vertical="top"/>
    </xf>
    <xf numFmtId="0" fontId="3" fillId="0" borderId="0" xfId="0" applyFont="1" applyAlignment="1">
      <alignment vertical="top"/>
    </xf>
    <xf numFmtId="170" fontId="14" fillId="0" borderId="7" xfId="0" applyNumberFormat="1" applyFont="1" applyBorder="1" applyAlignment="1">
      <alignment horizontal="center"/>
    </xf>
    <xf numFmtId="0" fontId="3" fillId="2" borderId="0" xfId="0" applyFont="1" applyFill="1" applyAlignment="1">
      <alignment horizontal="left" indent="2"/>
    </xf>
    <xf numFmtId="170" fontId="3" fillId="2" borderId="0" xfId="0" applyNumberFormat="1" applyFont="1" applyFill="1"/>
    <xf numFmtId="170" fontId="0" fillId="0" borderId="0" xfId="0" applyNumberFormat="1" applyAlignment="1">
      <alignment vertical="top"/>
    </xf>
    <xf numFmtId="170" fontId="0" fillId="0" borderId="0" xfId="0" applyNumberFormat="1" applyAlignment="1">
      <alignment vertical="top" wrapText="1"/>
    </xf>
    <xf numFmtId="170" fontId="0" fillId="0" borderId="30" xfId="0" applyNumberFormat="1" applyBorder="1" applyAlignment="1">
      <alignment vertical="top" wrapText="1"/>
    </xf>
    <xf numFmtId="170" fontId="0" fillId="0" borderId="30" xfId="0" applyNumberFormat="1" applyBorder="1" applyAlignment="1">
      <alignment horizontal="center" vertical="top" wrapText="1"/>
    </xf>
    <xf numFmtId="166" fontId="14" fillId="0" borderId="0" xfId="2" applyNumberFormat="1" applyFont="1"/>
    <xf numFmtId="170" fontId="3" fillId="0" borderId="0" xfId="2" applyNumberFormat="1" applyFont="1"/>
    <xf numFmtId="170" fontId="35" fillId="0" borderId="0" xfId="0" applyNumberFormat="1" applyFont="1" applyAlignment="1">
      <alignment horizontal="left"/>
    </xf>
    <xf numFmtId="166" fontId="3" fillId="0" borderId="0" xfId="9" applyNumberFormat="1" applyFont="1" applyProtection="1"/>
    <xf numFmtId="0" fontId="19" fillId="0" borderId="4" xfId="0" applyFont="1" applyBorder="1" applyAlignment="1">
      <alignment horizontal="left"/>
    </xf>
    <xf numFmtId="166" fontId="19" fillId="2" borderId="0" xfId="0" applyNumberFormat="1" applyFont="1" applyFill="1"/>
    <xf numFmtId="0" fontId="47" fillId="2" borderId="0" xfId="0" applyFont="1" applyFill="1"/>
    <xf numFmtId="166" fontId="49" fillId="2" borderId="0" xfId="0" applyNumberFormat="1" applyFont="1" applyFill="1"/>
    <xf numFmtId="0" fontId="45" fillId="0" borderId="0" xfId="0" applyFont="1"/>
    <xf numFmtId="170" fontId="19" fillId="2" borderId="0" xfId="0" applyNumberFormat="1" applyFont="1" applyFill="1"/>
    <xf numFmtId="1" fontId="0" fillId="2" borderId="0" xfId="0" applyNumberFormat="1" applyFill="1"/>
    <xf numFmtId="0" fontId="45" fillId="4" borderId="0" xfId="0" applyFont="1" applyFill="1"/>
    <xf numFmtId="0" fontId="3" fillId="4" borderId="0" xfId="0" applyFont="1" applyFill="1"/>
    <xf numFmtId="0" fontId="0" fillId="4" borderId="0" xfId="0" applyFill="1"/>
    <xf numFmtId="0" fontId="14" fillId="4" borderId="0" xfId="0" applyFont="1" applyFill="1"/>
    <xf numFmtId="43" fontId="0" fillId="0" borderId="0" xfId="0" applyNumberFormat="1" applyAlignment="1">
      <alignment horizontal="center"/>
    </xf>
    <xf numFmtId="2" fontId="55" fillId="0" borderId="4" xfId="0" applyNumberFormat="1" applyFont="1" applyBorder="1"/>
    <xf numFmtId="2" fontId="3" fillId="0" borderId="0" xfId="0" applyNumberFormat="1" applyFont="1"/>
    <xf numFmtId="169" fontId="11" fillId="0" borderId="17" xfId="1" applyNumberFormat="1" applyFont="1" applyBorder="1" applyAlignment="1">
      <alignment horizontal="left"/>
    </xf>
    <xf numFmtId="0" fontId="10" fillId="0" borderId="16" xfId="0" applyFont="1" applyBorder="1" applyAlignment="1">
      <alignment horizontal="left" indent="2"/>
    </xf>
    <xf numFmtId="1" fontId="10" fillId="0" borderId="0" xfId="0" applyNumberFormat="1" applyFont="1" applyAlignment="1">
      <alignment horizontal="right"/>
    </xf>
    <xf numFmtId="169" fontId="3" fillId="0" borderId="0" xfId="1" applyNumberFormat="1" applyFont="1"/>
    <xf numFmtId="0" fontId="43" fillId="0" borderId="16" xfId="0" applyFont="1" applyBorder="1" applyAlignment="1">
      <alignment horizontal="left" indent="1"/>
    </xf>
    <xf numFmtId="0" fontId="37" fillId="0" borderId="16" xfId="0" applyFont="1" applyBorder="1" applyAlignment="1">
      <alignment horizontal="left"/>
    </xf>
    <xf numFmtId="0" fontId="16" fillId="0" borderId="16" xfId="0" applyFont="1" applyBorder="1" applyAlignment="1">
      <alignment horizontal="left" indent="1"/>
    </xf>
    <xf numFmtId="0" fontId="16" fillId="0" borderId="16" xfId="0" applyFont="1" applyBorder="1" applyAlignment="1">
      <alignment horizontal="left" indent="2"/>
    </xf>
    <xf numFmtId="169" fontId="0" fillId="0" borderId="0" xfId="1" applyNumberFormat="1" applyFont="1" applyBorder="1" applyAlignment="1">
      <alignment horizontal="left"/>
    </xf>
    <xf numFmtId="0" fontId="12" fillId="0" borderId="0" xfId="0" applyFont="1" applyAlignment="1">
      <alignment horizontal="left"/>
    </xf>
    <xf numFmtId="0" fontId="10" fillId="0" borderId="0" xfId="0" applyFont="1" applyAlignment="1">
      <alignment horizontal="left" indent="1"/>
    </xf>
    <xf numFmtId="169" fontId="10" fillId="0" borderId="0" xfId="1" applyNumberFormat="1" applyFont="1" applyBorder="1" applyAlignment="1">
      <alignment horizontal="left"/>
    </xf>
    <xf numFmtId="0" fontId="3" fillId="0" borderId="0" xfId="0" applyFont="1" applyAlignment="1">
      <alignment horizontal="left" indent="1"/>
    </xf>
    <xf numFmtId="169" fontId="3" fillId="0" borderId="0" xfId="0" applyNumberFormat="1" applyFont="1"/>
    <xf numFmtId="169" fontId="3" fillId="0" borderId="0" xfId="1" applyNumberFormat="1" applyFont="1" applyBorder="1" applyAlignment="1">
      <alignment horizontal="left"/>
    </xf>
    <xf numFmtId="0" fontId="9" fillId="0" borderId="0" xfId="0" applyFont="1" applyAlignment="1">
      <alignment horizontal="left"/>
    </xf>
    <xf numFmtId="164" fontId="2" fillId="0" borderId="0" xfId="1" applyNumberFormat="1" applyFont="1" applyBorder="1"/>
    <xf numFmtId="165" fontId="61" fillId="0" borderId="0" xfId="0" applyNumberFormat="1" applyFont="1"/>
    <xf numFmtId="166" fontId="11" fillId="0" borderId="0" xfId="2" applyNumberFormat="1" applyFont="1"/>
    <xf numFmtId="0" fontId="2" fillId="0" borderId="0" xfId="0" applyFont="1" applyAlignment="1">
      <alignment horizontal="left" indent="2"/>
    </xf>
    <xf numFmtId="0" fontId="14" fillId="0" borderId="0" xfId="0" applyFont="1" applyAlignment="1">
      <alignment horizontal="left" indent="1"/>
    </xf>
    <xf numFmtId="0" fontId="14" fillId="0" borderId="0" xfId="0" applyFont="1" applyAlignment="1">
      <alignment horizontal="left" indent="2"/>
    </xf>
    <xf numFmtId="0" fontId="0" fillId="0" borderId="0" xfId="0" applyAlignment="1">
      <alignment horizontal="left" indent="1"/>
    </xf>
    <xf numFmtId="0" fontId="0" fillId="2" borderId="0" xfId="0" applyFill="1" applyAlignment="1">
      <alignment horizontal="left" indent="1"/>
    </xf>
    <xf numFmtId="0" fontId="39" fillId="3" borderId="0" xfId="0" applyFont="1" applyFill="1" applyAlignment="1">
      <alignment horizontal="center" vertical="center"/>
    </xf>
    <xf numFmtId="0" fontId="6" fillId="0" borderId="0" xfId="0" applyFont="1" applyAlignment="1">
      <alignment horizontal="left"/>
    </xf>
    <xf numFmtId="0" fontId="14" fillId="0" borderId="0" xfId="0" applyFont="1" applyAlignment="1">
      <alignment horizontal="left" vertical="top"/>
    </xf>
    <xf numFmtId="0" fontId="0" fillId="0" borderId="0" xfId="0" applyAlignment="1">
      <alignment horizontal="left" indent="2"/>
    </xf>
    <xf numFmtId="0" fontId="3" fillId="3" borderId="0" xfId="0" applyFont="1" applyFill="1" applyAlignment="1">
      <alignment horizontal="left"/>
    </xf>
    <xf numFmtId="0" fontId="2" fillId="0" borderId="0" xfId="0" applyFont="1" applyAlignment="1">
      <alignment horizontal="left" vertical="top" wrapText="1"/>
    </xf>
    <xf numFmtId="0" fontId="23" fillId="0" borderId="0" xfId="0" applyFont="1"/>
    <xf numFmtId="0" fontId="3" fillId="0" borderId="7" xfId="0" applyFont="1" applyBorder="1" applyAlignment="1">
      <alignment horizontal="center"/>
    </xf>
    <xf numFmtId="0" fontId="0" fillId="0" borderId="30" xfId="0" applyBorder="1" applyAlignment="1">
      <alignment horizontal="center" vertical="top"/>
    </xf>
    <xf numFmtId="0" fontId="3" fillId="0" borderId="6" xfId="0" applyFont="1" applyBorder="1" applyAlignment="1">
      <alignment horizontal="center"/>
    </xf>
    <xf numFmtId="0" fontId="0" fillId="3" borderId="0" xfId="0" applyFill="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2" fillId="0" borderId="0" xfId="0" applyFont="1"/>
    <xf numFmtId="0" fontId="24" fillId="5" borderId="7" xfId="0" applyFont="1" applyFill="1" applyBorder="1"/>
    <xf numFmtId="0" fontId="27" fillId="0" borderId="0" xfId="0" applyFont="1"/>
    <xf numFmtId="0" fontId="14" fillId="2" borderId="13" xfId="0" applyFont="1" applyFill="1" applyBorder="1" applyAlignment="1">
      <alignment horizontal="center"/>
    </xf>
    <xf numFmtId="0" fontId="14" fillId="2" borderId="14" xfId="0" applyFont="1" applyFill="1" applyBorder="1" applyAlignment="1">
      <alignment horizontal="center"/>
    </xf>
    <xf numFmtId="0" fontId="14" fillId="2" borderId="15" xfId="0" applyFont="1" applyFill="1" applyBorder="1" applyAlignment="1">
      <alignment horizontal="center"/>
    </xf>
    <xf numFmtId="1" fontId="10" fillId="0" borderId="4" xfId="0" applyNumberFormat="1" applyFont="1" applyBorder="1"/>
    <xf numFmtId="0" fontId="10" fillId="0" borderId="4" xfId="0" applyFont="1" applyBorder="1"/>
    <xf numFmtId="1" fontId="10" fillId="0" borderId="4" xfId="0" quotePrefix="1" applyNumberFormat="1" applyFont="1" applyBorder="1"/>
    <xf numFmtId="1" fontId="10" fillId="0" borderId="6" xfId="0" applyNumberFormat="1" applyFont="1" applyBorder="1" applyAlignment="1">
      <alignment horizontal="right"/>
    </xf>
    <xf numFmtId="0" fontId="10" fillId="0" borderId="7" xfId="0" applyFont="1" applyBorder="1"/>
    <xf numFmtId="0" fontId="10" fillId="0" borderId="2" xfId="0" applyFont="1" applyBorder="1"/>
    <xf numFmtId="0" fontId="10" fillId="0" borderId="3" xfId="0" applyFont="1" applyBorder="1"/>
    <xf numFmtId="164" fontId="10" fillId="0" borderId="4" xfId="0" applyNumberFormat="1" applyFont="1" applyBorder="1"/>
    <xf numFmtId="0" fontId="10" fillId="0" borderId="5" xfId="0" applyFont="1" applyBorder="1"/>
    <xf numFmtId="164" fontId="10" fillId="0" borderId="6" xfId="0" applyNumberFormat="1" applyFont="1" applyBorder="1"/>
    <xf numFmtId="0" fontId="10" fillId="0" borderId="8" xfId="0" applyFont="1" applyBorder="1"/>
    <xf numFmtId="164" fontId="14" fillId="0" borderId="0" xfId="1" applyNumberFormat="1" applyFont="1" applyBorder="1"/>
    <xf numFmtId="164" fontId="14" fillId="0" borderId="0" xfId="1" applyNumberFormat="1" applyFont="1" applyAlignment="1">
      <alignment horizontal="right"/>
    </xf>
    <xf numFmtId="164" fontId="14" fillId="0" borderId="0" xfId="1" applyNumberFormat="1" applyFont="1" applyFill="1" applyBorder="1"/>
    <xf numFmtId="44" fontId="14" fillId="0" borderId="0" xfId="2" applyFont="1" applyFill="1"/>
    <xf numFmtId="44" fontId="14" fillId="0" borderId="7" xfId="2" applyFont="1" applyFill="1" applyBorder="1"/>
    <xf numFmtId="0" fontId="0" fillId="0" borderId="0" xfId="0" applyAlignment="1">
      <alignment horizontal="left" indent="3"/>
    </xf>
    <xf numFmtId="6" fontId="14" fillId="0" borderId="7" xfId="2" applyNumberFormat="1" applyFont="1" applyFill="1" applyBorder="1"/>
    <xf numFmtId="166" fontId="0" fillId="0" borderId="0" xfId="9" applyNumberFormat="1" applyFont="1" applyFill="1"/>
    <xf numFmtId="166" fontId="0" fillId="0" borderId="7" xfId="9" applyNumberFormat="1" applyFont="1" applyFill="1" applyBorder="1"/>
    <xf numFmtId="166" fontId="0" fillId="0" borderId="7" xfId="0" applyNumberFormat="1" applyBorder="1"/>
    <xf numFmtId="170" fontId="14" fillId="0" borderId="0" xfId="0" applyNumberFormat="1" applyFont="1"/>
    <xf numFmtId="171" fontId="14" fillId="0" borderId="7" xfId="0" applyNumberFormat="1" applyFont="1" applyBorder="1"/>
    <xf numFmtId="166" fontId="0" fillId="0" borderId="0" xfId="0" quotePrefix="1" applyNumberFormat="1"/>
    <xf numFmtId="44" fontId="0" fillId="0" borderId="0" xfId="2" applyFont="1" applyBorder="1"/>
    <xf numFmtId="166" fontId="0" fillId="0" borderId="0" xfId="9" applyNumberFormat="1" applyFont="1" applyBorder="1"/>
    <xf numFmtId="44" fontId="0" fillId="0" borderId="7" xfId="2" applyFont="1" applyBorder="1"/>
    <xf numFmtId="166" fontId="0" fillId="0" borderId="0" xfId="9" applyNumberFormat="1" applyFont="1" applyFill="1" applyBorder="1"/>
    <xf numFmtId="164" fontId="1" fillId="0" borderId="0" xfId="5" applyNumberFormat="1" applyFont="1" applyBorder="1" applyProtection="1"/>
    <xf numFmtId="164" fontId="14" fillId="0" borderId="7" xfId="5" applyNumberFormat="1" applyFont="1" applyBorder="1"/>
    <xf numFmtId="170" fontId="0" fillId="0" borderId="0" xfId="0" applyNumberFormat="1" applyAlignment="1">
      <alignment horizontal="center" vertical="top" wrapText="1"/>
    </xf>
    <xf numFmtId="0" fontId="14" fillId="0" borderId="0" xfId="0" applyFont="1" applyAlignment="1">
      <alignment horizontal="right"/>
    </xf>
    <xf numFmtId="166" fontId="19" fillId="4" borderId="0" xfId="0" applyNumberFormat="1" applyFont="1" applyFill="1"/>
    <xf numFmtId="0" fontId="3" fillId="0" borderId="4" xfId="0" applyFont="1" applyBorder="1" applyAlignment="1">
      <alignment horizontal="left" indent="1"/>
    </xf>
    <xf numFmtId="0" fontId="14" fillId="0" borderId="16" xfId="0" applyFont="1" applyBorder="1" applyAlignment="1">
      <alignment horizontal="left" indent="1"/>
    </xf>
    <xf numFmtId="0" fontId="3" fillId="0" borderId="0" xfId="0" applyFont="1" applyAlignment="1">
      <alignment horizontal="left" wrapText="1" indent="1"/>
    </xf>
    <xf numFmtId="0" fontId="3" fillId="0" borderId="0" xfId="0" applyFont="1" applyAlignment="1">
      <alignment horizontal="left" vertical="top" wrapText="1" indent="1"/>
    </xf>
    <xf numFmtId="0" fontId="0" fillId="0" borderId="30" xfId="0" applyBorder="1" applyAlignment="1">
      <alignment horizontal="left" vertical="top" wrapText="1" indent="1"/>
    </xf>
    <xf numFmtId="0" fontId="3" fillId="0" borderId="30" xfId="0" applyFont="1" applyBorder="1" applyAlignment="1">
      <alignment horizontal="left" vertical="top" wrapText="1" indent="1"/>
    </xf>
    <xf numFmtId="0" fontId="11" fillId="0" borderId="0" xfId="0" applyFont="1" applyAlignment="1">
      <alignment horizontal="left" vertical="top" wrapText="1" indent="1"/>
    </xf>
    <xf numFmtId="0" fontId="0" fillId="0" borderId="30" xfId="0" applyBorder="1" applyAlignment="1">
      <alignment horizontal="left" vertical="top" wrapText="1" indent="2"/>
    </xf>
    <xf numFmtId="170" fontId="14" fillId="0" borderId="7" xfId="0" applyNumberFormat="1" applyFont="1" applyBorder="1"/>
    <xf numFmtId="0" fontId="0" fillId="4" borderId="0" xfId="0" applyFill="1" applyAlignment="1">
      <alignment horizontal="center"/>
    </xf>
    <xf numFmtId="9" fontId="10" fillId="0" borderId="0" xfId="3" applyFont="1" applyFill="1" applyBorder="1" applyAlignment="1">
      <alignment horizontal="center"/>
    </xf>
    <xf numFmtId="9" fontId="10" fillId="0" borderId="0" xfId="3" applyFont="1"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18" fillId="0" borderId="0" xfId="0" applyFont="1" applyAlignment="1">
      <alignment horizontal="left"/>
    </xf>
    <xf numFmtId="0" fontId="19" fillId="0" borderId="32" xfId="0" applyFont="1" applyBorder="1" applyAlignment="1">
      <alignment horizontal="center" wrapText="1"/>
    </xf>
    <xf numFmtId="173" fontId="19" fillId="0" borderId="17" xfId="0" applyNumberFormat="1" applyFont="1" applyBorder="1" applyAlignment="1">
      <alignment horizontal="center"/>
    </xf>
    <xf numFmtId="0" fontId="14" fillId="0" borderId="17" xfId="0" applyFont="1" applyBorder="1" applyAlignment="1">
      <alignment horizontal="center"/>
    </xf>
    <xf numFmtId="37" fontId="19" fillId="0" borderId="17" xfId="0" applyNumberFormat="1" applyFont="1" applyBorder="1" applyAlignment="1">
      <alignment horizontal="center"/>
    </xf>
    <xf numFmtId="37" fontId="14" fillId="0" borderId="17" xfId="0" applyNumberFormat="1" applyFont="1" applyBorder="1"/>
    <xf numFmtId="0" fontId="19" fillId="0" borderId="4" xfId="0" applyFont="1" applyBorder="1" applyAlignment="1">
      <alignment horizontal="center" wrapText="1"/>
    </xf>
    <xf numFmtId="1" fontId="19" fillId="0" borderId="0" xfId="0" applyNumberFormat="1" applyFont="1"/>
    <xf numFmtId="8" fontId="14" fillId="0" borderId="30" xfId="0" applyNumberFormat="1" applyFont="1" applyBorder="1"/>
    <xf numFmtId="166" fontId="19" fillId="0" borderId="30" xfId="2" applyNumberFormat="1" applyFont="1" applyFill="1" applyBorder="1"/>
    <xf numFmtId="0" fontId="3" fillId="0" borderId="13" xfId="0" applyFont="1" applyBorder="1"/>
    <xf numFmtId="0" fontId="3" fillId="0" borderId="14" xfId="0" applyFont="1" applyBorder="1"/>
    <xf numFmtId="0" fontId="3" fillId="0" borderId="15" xfId="0" applyFont="1" applyBorder="1" applyAlignment="1">
      <alignment horizontal="center"/>
    </xf>
    <xf numFmtId="0" fontId="0" fillId="0" borderId="17" xfId="0" applyBorder="1" applyAlignment="1">
      <alignment horizontal="center"/>
    </xf>
    <xf numFmtId="0" fontId="3" fillId="3" borderId="16" xfId="0" applyFont="1" applyFill="1" applyBorder="1"/>
    <xf numFmtId="44" fontId="3" fillId="3" borderId="17" xfId="0" applyNumberFormat="1" applyFont="1" applyFill="1" applyBorder="1" applyAlignment="1">
      <alignment horizontal="center"/>
    </xf>
    <xf numFmtId="0" fontId="21" fillId="0" borderId="16" xfId="0" applyFont="1" applyBorder="1" applyAlignment="1">
      <alignment horizontal="left" indent="1"/>
    </xf>
    <xf numFmtId="6" fontId="0" fillId="0" borderId="17" xfId="0" applyNumberFormat="1" applyBorder="1"/>
    <xf numFmtId="44" fontId="14" fillId="0" borderId="0" xfId="2" applyFont="1" applyBorder="1"/>
    <xf numFmtId="0" fontId="0" fillId="0" borderId="0" xfId="0" quotePrefix="1" applyAlignment="1">
      <alignment horizontal="center"/>
    </xf>
    <xf numFmtId="166" fontId="0" fillId="0" borderId="17" xfId="0" applyNumberFormat="1" applyBorder="1" applyAlignment="1">
      <alignment horizontal="center"/>
    </xf>
    <xf numFmtId="166" fontId="3" fillId="3" borderId="17" xfId="0" applyNumberFormat="1" applyFont="1" applyFill="1" applyBorder="1" applyAlignment="1">
      <alignment horizontal="center"/>
    </xf>
    <xf numFmtId="166" fontId="3" fillId="0" borderId="17" xfId="0" applyNumberFormat="1" applyFont="1" applyBorder="1" applyAlignment="1">
      <alignment horizontal="center"/>
    </xf>
    <xf numFmtId="0" fontId="0" fillId="2" borderId="16" xfId="0" applyFill="1" applyBorder="1" applyAlignment="1">
      <alignment horizontal="left" indent="1"/>
    </xf>
    <xf numFmtId="44" fontId="0" fillId="2" borderId="17" xfId="0" applyNumberFormat="1" applyFill="1" applyBorder="1" applyAlignment="1">
      <alignment horizontal="center"/>
    </xf>
    <xf numFmtId="44" fontId="2" fillId="0" borderId="0" xfId="2" applyFont="1" applyBorder="1"/>
    <xf numFmtId="0" fontId="2" fillId="0" borderId="0" xfId="0" quotePrefix="1" applyFont="1" applyAlignment="1">
      <alignment horizontal="center"/>
    </xf>
    <xf numFmtId="0" fontId="2" fillId="0" borderId="17" xfId="0" quotePrefix="1" applyFont="1" applyBorder="1" applyAlignment="1">
      <alignment horizontal="center"/>
    </xf>
    <xf numFmtId="0" fontId="21" fillId="0" borderId="0" xfId="0" applyFont="1"/>
    <xf numFmtId="166" fontId="3" fillId="0" borderId="17" xfId="0" applyNumberFormat="1" applyFont="1" applyBorder="1"/>
    <xf numFmtId="0" fontId="55" fillId="0" borderId="16" xfId="0" applyFont="1" applyBorder="1" applyAlignment="1">
      <alignment horizontal="right"/>
    </xf>
    <xf numFmtId="8" fontId="0" fillId="0" borderId="0" xfId="2" applyNumberFormat="1" applyFont="1" applyBorder="1"/>
    <xf numFmtId="166" fontId="10" fillId="0" borderId="17" xfId="2" applyNumberFormat="1" applyFont="1" applyBorder="1" applyAlignment="1">
      <alignment horizontal="center"/>
    </xf>
    <xf numFmtId="0" fontId="21" fillId="0" borderId="16" xfId="0" applyFont="1" applyBorder="1" applyAlignment="1">
      <alignment horizontal="left" indent="2"/>
    </xf>
    <xf numFmtId="0" fontId="14" fillId="0" borderId="0" xfId="0" quotePrefix="1" applyFont="1" applyAlignment="1">
      <alignment horizontal="center"/>
    </xf>
    <xf numFmtId="166" fontId="14" fillId="0" borderId="17" xfId="2" applyNumberFormat="1" applyFont="1" applyBorder="1" applyAlignment="1">
      <alignment horizontal="center"/>
    </xf>
    <xf numFmtId="0" fontId="21" fillId="0" borderId="16" xfId="0" applyFont="1" applyBorder="1" applyAlignment="1">
      <alignment horizontal="left" indent="3"/>
    </xf>
    <xf numFmtId="166" fontId="19" fillId="0" borderId="17" xfId="2" applyNumberFormat="1" applyFont="1" applyBorder="1" applyAlignment="1">
      <alignment horizontal="center"/>
    </xf>
    <xf numFmtId="166" fontId="0" fillId="0" borderId="17" xfId="2" applyNumberFormat="1" applyFont="1" applyFill="1" applyBorder="1" applyAlignment="1">
      <alignment horizontal="center"/>
    </xf>
    <xf numFmtId="0" fontId="14" fillId="2" borderId="16" xfId="0" applyFont="1" applyFill="1" applyBorder="1" applyAlignment="1">
      <alignment horizontal="left" indent="1"/>
    </xf>
    <xf numFmtId="0" fontId="14" fillId="2" borderId="0" xfId="0" applyFont="1" applyFill="1" applyAlignment="1">
      <alignment wrapText="1"/>
    </xf>
    <xf numFmtId="0" fontId="14" fillId="2" borderId="0" xfId="0" applyFont="1" applyFill="1" applyAlignment="1">
      <alignment horizontal="center"/>
    </xf>
    <xf numFmtId="166" fontId="14" fillId="2" borderId="17" xfId="2" applyNumberFormat="1" applyFont="1" applyFill="1" applyBorder="1" applyAlignment="1">
      <alignment horizontal="center"/>
    </xf>
    <xf numFmtId="8" fontId="14" fillId="0" borderId="0" xfId="2" applyNumberFormat="1" applyFont="1" applyFill="1" applyBorder="1"/>
    <xf numFmtId="0" fontId="0" fillId="0" borderId="16" xfId="0" applyBorder="1" applyAlignment="1">
      <alignment horizontal="left" indent="2"/>
    </xf>
    <xf numFmtId="0" fontId="18" fillId="0" borderId="0" xfId="0" applyFont="1" applyAlignment="1">
      <alignment horizontal="center"/>
    </xf>
    <xf numFmtId="0" fontId="14" fillId="0" borderId="16" xfId="0" applyFont="1" applyBorder="1" applyAlignment="1">
      <alignment horizontal="left" indent="2"/>
    </xf>
    <xf numFmtId="0" fontId="14" fillId="0" borderId="16" xfId="0" applyFont="1" applyBorder="1" applyAlignment="1">
      <alignment horizontal="left" indent="3"/>
    </xf>
    <xf numFmtId="44" fontId="0" fillId="0" borderId="17" xfId="0" applyNumberFormat="1" applyBorder="1" applyAlignment="1">
      <alignment horizontal="center"/>
    </xf>
    <xf numFmtId="0" fontId="3" fillId="3" borderId="18" xfId="0" applyFont="1" applyFill="1" applyBorder="1"/>
    <xf numFmtId="0" fontId="3" fillId="3" borderId="19" xfId="0" applyFont="1" applyFill="1" applyBorder="1"/>
    <xf numFmtId="0" fontId="3" fillId="3" borderId="19" xfId="0" applyFont="1" applyFill="1" applyBorder="1" applyAlignment="1">
      <alignment horizontal="center"/>
    </xf>
    <xf numFmtId="166" fontId="3" fillId="3" borderId="20" xfId="0" applyNumberFormat="1" applyFont="1" applyFill="1" applyBorder="1" applyAlignment="1">
      <alignment horizontal="center"/>
    </xf>
    <xf numFmtId="2" fontId="19" fillId="2" borderId="0" xfId="0" applyNumberFormat="1" applyFont="1" applyFill="1"/>
    <xf numFmtId="0" fontId="16" fillId="2" borderId="0" xfId="0" applyFont="1" applyFill="1"/>
    <xf numFmtId="0" fontId="19" fillId="2" borderId="0" xfId="1" applyNumberFormat="1" applyFont="1" applyFill="1" applyAlignment="1">
      <alignment horizontal="left"/>
    </xf>
    <xf numFmtId="164" fontId="14" fillId="0" borderId="0" xfId="5" applyNumberFormat="1" applyFont="1" applyFill="1" applyBorder="1"/>
    <xf numFmtId="164" fontId="14" fillId="0" borderId="0" xfId="5" applyNumberFormat="1" applyFont="1" applyFill="1" applyBorder="1" applyProtection="1"/>
    <xf numFmtId="164" fontId="14" fillId="0" borderId="7" xfId="5" applyNumberFormat="1" applyFont="1" applyFill="1" applyBorder="1"/>
    <xf numFmtId="166" fontId="3" fillId="0" borderId="0" xfId="9" applyNumberFormat="1" applyFont="1" applyFill="1" applyProtection="1"/>
    <xf numFmtId="0" fontId="14" fillId="0" borderId="0" xfId="0" applyFont="1" applyAlignment="1">
      <alignment horizontal="left" wrapText="1" indent="3"/>
    </xf>
    <xf numFmtId="1" fontId="0" fillId="0" borderId="4" xfId="0" applyNumberFormat="1" applyBorder="1"/>
    <xf numFmtId="0" fontId="36" fillId="0" borderId="0" xfId="0" applyFont="1"/>
    <xf numFmtId="0" fontId="62" fillId="0" borderId="0" xfId="0" applyFont="1" applyAlignment="1">
      <alignment horizontal="center"/>
    </xf>
    <xf numFmtId="171" fontId="63" fillId="0" borderId="0" xfId="0" applyNumberFormat="1" applyFont="1" applyAlignment="1">
      <alignment horizontal="center"/>
    </xf>
    <xf numFmtId="171" fontId="63" fillId="0" borderId="0" xfId="0" applyNumberFormat="1" applyFont="1"/>
    <xf numFmtId="0" fontId="64" fillId="0" borderId="0" xfId="0" applyFont="1" applyAlignment="1">
      <alignment horizontal="center"/>
    </xf>
    <xf numFmtId="171" fontId="64" fillId="0" borderId="0" xfId="0" applyNumberFormat="1" applyFont="1" applyAlignment="1">
      <alignment horizontal="center"/>
    </xf>
    <xf numFmtId="0" fontId="64" fillId="0" borderId="0" xfId="0" applyFont="1"/>
    <xf numFmtId="171" fontId="14" fillId="0" borderId="0" xfId="0" applyNumberFormat="1" applyFont="1" applyAlignment="1">
      <alignment horizontal="center"/>
    </xf>
    <xf numFmtId="0" fontId="14" fillId="0" borderId="0" xfId="0" applyFont="1" applyAlignment="1">
      <alignment horizontal="center" wrapText="1"/>
    </xf>
    <xf numFmtId="171" fontId="14" fillId="0" borderId="0" xfId="0" applyNumberFormat="1" applyFont="1" applyAlignment="1">
      <alignment horizontal="center" wrapText="1"/>
    </xf>
    <xf numFmtId="170" fontId="14" fillId="0" borderId="0" xfId="0" quotePrefix="1" applyNumberFormat="1" applyFont="1" applyAlignment="1">
      <alignment horizontal="center"/>
    </xf>
    <xf numFmtId="0" fontId="14" fillId="0" borderId="22" xfId="0" applyFont="1" applyBorder="1"/>
    <xf numFmtId="0" fontId="14" fillId="0" borderId="23" xfId="0" applyFont="1" applyBorder="1"/>
    <xf numFmtId="0" fontId="14" fillId="0" borderId="23" xfId="0" applyFont="1" applyBorder="1" applyAlignment="1">
      <alignment horizontal="center"/>
    </xf>
    <xf numFmtId="0" fontId="14" fillId="0" borderId="29" xfId="0" applyFont="1" applyBorder="1"/>
    <xf numFmtId="44" fontId="0" fillId="0" borderId="17" xfId="2" applyFont="1" applyBorder="1"/>
    <xf numFmtId="171" fontId="14" fillId="0" borderId="19" xfId="0" applyNumberFormat="1" applyFont="1" applyBorder="1" applyAlignment="1">
      <alignment horizontal="center"/>
    </xf>
    <xf numFmtId="166" fontId="42" fillId="3" borderId="0" xfId="0" applyNumberFormat="1" applyFont="1" applyFill="1" applyAlignment="1">
      <alignment horizontal="right"/>
    </xf>
    <xf numFmtId="166" fontId="14" fillId="0" borderId="4" xfId="2" applyNumberFormat="1" applyFont="1" applyFill="1" applyBorder="1"/>
    <xf numFmtId="164" fontId="14" fillId="0" borderId="4" xfId="1" applyNumberFormat="1" applyFont="1" applyFill="1" applyBorder="1"/>
    <xf numFmtId="164" fontId="3" fillId="0" borderId="0" xfId="1" applyNumberFormat="1" applyFont="1" applyFill="1"/>
    <xf numFmtId="0" fontId="3" fillId="2" borderId="22" xfId="0" applyFont="1" applyFill="1" applyBorder="1" applyAlignment="1">
      <alignment horizontal="center"/>
    </xf>
    <xf numFmtId="0" fontId="42" fillId="2" borderId="0" xfId="0" applyFont="1" applyFill="1"/>
    <xf numFmtId="1" fontId="16" fillId="0" borderId="0" xfId="0" applyNumberFormat="1" applyFont="1"/>
    <xf numFmtId="2" fontId="16" fillId="0" borderId="0" xfId="0" applyNumberFormat="1" applyFont="1"/>
    <xf numFmtId="166" fontId="3" fillId="0" borderId="17" xfId="2" applyNumberFormat="1" applyFont="1" applyBorder="1" applyAlignment="1">
      <alignment horizontal="center"/>
    </xf>
    <xf numFmtId="0" fontId="3" fillId="0" borderId="17" xfId="0" applyFont="1" applyBorder="1"/>
    <xf numFmtId="0" fontId="19" fillId="0" borderId="17" xfId="0" applyFont="1" applyBorder="1"/>
    <xf numFmtId="6" fontId="19" fillId="0" borderId="0" xfId="0" applyNumberFormat="1" applyFont="1"/>
    <xf numFmtId="6" fontId="17" fillId="0" borderId="0" xfId="0" applyNumberFormat="1" applyFont="1"/>
    <xf numFmtId="166" fontId="19" fillId="0" borderId="0" xfId="2" applyNumberFormat="1" applyFont="1"/>
    <xf numFmtId="164" fontId="0" fillId="0" borderId="0" xfId="5" applyNumberFormat="1" applyFont="1" applyFill="1" applyBorder="1" applyProtection="1"/>
    <xf numFmtId="166" fontId="1" fillId="0" borderId="0" xfId="9" applyNumberFormat="1" applyFont="1" applyFill="1" applyProtection="1"/>
    <xf numFmtId="164" fontId="0" fillId="0" borderId="0" xfId="5" applyNumberFormat="1" applyFont="1" applyFill="1" applyBorder="1"/>
    <xf numFmtId="166" fontId="14" fillId="0" borderId="0" xfId="2" applyNumberFormat="1" applyFont="1" applyFill="1" applyAlignment="1">
      <alignment horizontal="center"/>
    </xf>
    <xf numFmtId="166" fontId="14" fillId="0" borderId="7" xfId="2" applyNumberFormat="1" applyFont="1" applyFill="1" applyBorder="1" applyAlignment="1">
      <alignment horizontal="center"/>
    </xf>
    <xf numFmtId="0" fontId="14" fillId="2" borderId="0" xfId="0" applyFont="1" applyFill="1" applyAlignment="1">
      <alignment horizontal="left" indent="1"/>
    </xf>
    <xf numFmtId="164" fontId="1" fillId="0" borderId="0" xfId="5" applyNumberFormat="1" applyFont="1" applyFill="1" applyBorder="1" applyProtection="1"/>
    <xf numFmtId="0" fontId="19" fillId="0" borderId="4" xfId="0" applyFont="1" applyBorder="1" applyAlignment="1">
      <alignment horizontal="left" indent="1"/>
    </xf>
    <xf numFmtId="0" fontId="19" fillId="0" borderId="0" xfId="0" applyFont="1" applyAlignment="1">
      <alignment horizontal="right"/>
    </xf>
    <xf numFmtId="9" fontId="16" fillId="0" borderId="0" xfId="3" applyFont="1" applyBorder="1" applyAlignment="1">
      <alignment horizontal="center"/>
    </xf>
    <xf numFmtId="9" fontId="16" fillId="0" borderId="0" xfId="3" applyFont="1" applyFill="1" applyBorder="1" applyAlignment="1">
      <alignment horizontal="center"/>
    </xf>
    <xf numFmtId="9" fontId="16" fillId="0" borderId="0" xfId="3" applyFont="1" applyAlignment="1">
      <alignment horizontal="center"/>
    </xf>
    <xf numFmtId="0" fontId="19" fillId="3" borderId="0" xfId="0" applyFont="1" applyFill="1" applyAlignment="1">
      <alignment horizontal="left" vertical="center"/>
    </xf>
    <xf numFmtId="165" fontId="0" fillId="0" borderId="0" xfId="2" applyNumberFormat="1" applyFont="1" applyFill="1"/>
    <xf numFmtId="0" fontId="3" fillId="2" borderId="0" xfId="0" applyFont="1" applyFill="1" applyAlignment="1">
      <alignment horizontal="left" indent="1"/>
    </xf>
    <xf numFmtId="166" fontId="3" fillId="0" borderId="0" xfId="0" applyNumberFormat="1" applyFont="1" applyAlignment="1">
      <alignment horizontal="left"/>
    </xf>
    <xf numFmtId="166" fontId="0" fillId="0" borderId="0" xfId="2" applyNumberFormat="1" applyFont="1" applyFill="1" applyBorder="1" applyAlignment="1"/>
    <xf numFmtId="166" fontId="18" fillId="0" borderId="0" xfId="2" applyNumberFormat="1" applyFont="1"/>
    <xf numFmtId="0" fontId="0" fillId="3" borderId="0" xfId="0" quotePrefix="1" applyFill="1"/>
    <xf numFmtId="44" fontId="3" fillId="0" borderId="0" xfId="2" applyFont="1"/>
    <xf numFmtId="0" fontId="45" fillId="3" borderId="0" xfId="0" applyFont="1" applyFill="1" applyAlignment="1">
      <alignment horizontal="left"/>
    </xf>
    <xf numFmtId="0" fontId="45" fillId="3" borderId="0" xfId="0" applyFont="1" applyFill="1" applyAlignment="1">
      <alignment horizontal="center"/>
    </xf>
    <xf numFmtId="0" fontId="47" fillId="0" borderId="0" xfId="0" applyFont="1"/>
    <xf numFmtId="0" fontId="39" fillId="0" borderId="0" xfId="0" applyFont="1" applyAlignment="1">
      <alignment horizontal="left" indent="2"/>
    </xf>
    <xf numFmtId="0" fontId="39" fillId="2" borderId="0" xfId="0" applyFont="1" applyFill="1" applyAlignment="1">
      <alignment horizontal="left" indent="2"/>
    </xf>
    <xf numFmtId="0" fontId="0" fillId="2" borderId="0" xfId="0" applyFill="1" applyAlignment="1">
      <alignment horizontal="left" indent="2"/>
    </xf>
    <xf numFmtId="0" fontId="3" fillId="10" borderId="0" xfId="0" applyFont="1" applyFill="1" applyAlignment="1">
      <alignment horizontal="center"/>
    </xf>
    <xf numFmtId="0" fontId="0" fillId="10" borderId="0" xfId="0" applyFill="1"/>
    <xf numFmtId="0" fontId="0" fillId="10" borderId="0" xfId="0" applyFill="1" applyAlignment="1">
      <alignment horizontal="left" indent="2"/>
    </xf>
    <xf numFmtId="0" fontId="41" fillId="0" borderId="0" xfId="0" applyFont="1" applyAlignment="1">
      <alignment horizontal="left" indent="2"/>
    </xf>
    <xf numFmtId="10" fontId="16" fillId="0" borderId="0" xfId="3" applyNumberFormat="1" applyFont="1" applyBorder="1" applyAlignment="1">
      <alignment horizontal="center"/>
    </xf>
    <xf numFmtId="8" fontId="18" fillId="13" borderId="0" xfId="0" applyNumberFormat="1" applyFont="1" applyFill="1"/>
    <xf numFmtId="8" fontId="20" fillId="13" borderId="9" xfId="0" applyNumberFormat="1" applyFont="1" applyFill="1" applyBorder="1"/>
    <xf numFmtId="171" fontId="62" fillId="0" borderId="0" xfId="0" applyNumberFormat="1" applyFont="1" applyAlignment="1">
      <alignment horizontal="center"/>
    </xf>
    <xf numFmtId="44" fontId="0" fillId="0" borderId="0" xfId="2" applyFont="1" applyFill="1" applyBorder="1"/>
    <xf numFmtId="0" fontId="12" fillId="2" borderId="0" xfId="0" applyFont="1" applyFill="1"/>
    <xf numFmtId="0" fontId="0" fillId="2" borderId="0" xfId="0" applyFill="1" applyAlignment="1">
      <alignment horizontal="left"/>
    </xf>
    <xf numFmtId="0" fontId="12" fillId="0" borderId="0" xfId="0" applyFont="1" applyAlignment="1">
      <alignment horizontal="left" indent="1"/>
    </xf>
    <xf numFmtId="0" fontId="19" fillId="0" borderId="0" xfId="0" applyFont="1" applyAlignment="1">
      <alignment horizontal="left" indent="2"/>
    </xf>
    <xf numFmtId="0" fontId="66" fillId="0" borderId="0" xfId="0" applyFont="1" applyAlignment="1">
      <alignment vertical="center"/>
    </xf>
    <xf numFmtId="164" fontId="0" fillId="0" borderId="0" xfId="5" applyNumberFormat="1" applyFont="1" applyFill="1"/>
    <xf numFmtId="166" fontId="19" fillId="0" borderId="0" xfId="2" applyNumberFormat="1" applyFont="1" applyFill="1"/>
    <xf numFmtId="166" fontId="14" fillId="0" borderId="0" xfId="2" applyNumberFormat="1" applyFont="1" applyFill="1"/>
    <xf numFmtId="170" fontId="14" fillId="0" borderId="30" xfId="0" applyNumberFormat="1" applyFont="1" applyBorder="1" applyAlignment="1">
      <alignment vertical="top" wrapText="1"/>
    </xf>
    <xf numFmtId="165" fontId="14" fillId="0" borderId="0" xfId="0" applyNumberFormat="1" applyFont="1" applyAlignment="1">
      <alignment vertical="top"/>
    </xf>
    <xf numFmtId="0" fontId="0" fillId="0" borderId="0" xfId="0" applyAlignment="1">
      <alignment horizontal="right" vertical="center"/>
    </xf>
    <xf numFmtId="165" fontId="0" fillId="0" borderId="0" xfId="0" applyNumberFormat="1" applyAlignment="1">
      <alignment horizontal="right" vertical="center"/>
    </xf>
    <xf numFmtId="164" fontId="19" fillId="0" borderId="0" xfId="0" applyNumberFormat="1" applyFont="1"/>
    <xf numFmtId="173" fontId="19" fillId="0" borderId="0" xfId="0" applyNumberFormat="1" applyFont="1"/>
    <xf numFmtId="0" fontId="0" fillId="0" borderId="0" xfId="0" applyAlignment="1">
      <alignment horizontal="left" vertical="top"/>
    </xf>
    <xf numFmtId="165" fontId="0" fillId="0" borderId="0" xfId="0" applyNumberFormat="1" applyAlignment="1">
      <alignment horizontal="left" vertical="top" wrapText="1"/>
    </xf>
    <xf numFmtId="165" fontId="0" fillId="0" borderId="0" xfId="0" applyNumberFormat="1" applyAlignment="1">
      <alignment horizontal="left" vertical="top"/>
    </xf>
    <xf numFmtId="165" fontId="57" fillId="0" borderId="0" xfId="0" applyNumberFormat="1" applyFont="1" applyAlignment="1">
      <alignment horizontal="left" vertical="top"/>
    </xf>
    <xf numFmtId="165" fontId="65" fillId="0" borderId="0" xfId="0" applyNumberFormat="1" applyFont="1" applyAlignment="1">
      <alignment horizontal="left" vertical="top"/>
    </xf>
    <xf numFmtId="165" fontId="14" fillId="0" borderId="0" xfId="0" applyNumberFormat="1" applyFont="1" applyAlignment="1">
      <alignment horizontal="left" vertical="top"/>
    </xf>
    <xf numFmtId="0" fontId="3" fillId="0" borderId="1" xfId="0" applyFont="1" applyBorder="1" applyAlignment="1">
      <alignment vertical="top"/>
    </xf>
    <xf numFmtId="0" fontId="3" fillId="0" borderId="4" xfId="0" applyFont="1" applyBorder="1" applyAlignment="1">
      <alignment vertical="top"/>
    </xf>
    <xf numFmtId="49" fontId="3" fillId="0" borderId="4" xfId="0" applyNumberFormat="1" applyFont="1" applyBorder="1" applyAlignment="1">
      <alignment vertical="top"/>
    </xf>
    <xf numFmtId="0" fontId="3" fillId="12" borderId="0" xfId="0" applyFont="1" applyFill="1" applyAlignment="1">
      <alignment horizontal="center" vertical="top" wrapText="1"/>
    </xf>
    <xf numFmtId="0" fontId="0" fillId="0" borderId="0" xfId="0" applyAlignment="1">
      <alignment horizontal="right" vertical="top"/>
    </xf>
    <xf numFmtId="1" fontId="0" fillId="0" borderId="0" xfId="0" applyNumberFormat="1" applyAlignment="1">
      <alignment horizontal="right" vertical="top"/>
    </xf>
    <xf numFmtId="2" fontId="0" fillId="0" borderId="0" xfId="0" applyNumberFormat="1" applyAlignment="1">
      <alignment vertical="top"/>
    </xf>
    <xf numFmtId="0" fontId="19" fillId="0" borderId="0" xfId="0" applyFont="1" applyAlignment="1">
      <alignment horizontal="left" vertical="top"/>
    </xf>
    <xf numFmtId="0" fontId="3" fillId="0" borderId="0" xfId="0" applyFont="1" applyAlignment="1">
      <alignment horizontal="left" vertical="top"/>
    </xf>
    <xf numFmtId="165" fontId="3" fillId="0" borderId="0" xfId="0" applyNumberFormat="1" applyFont="1" applyAlignment="1">
      <alignment horizontal="left" vertical="top"/>
    </xf>
    <xf numFmtId="0" fontId="67" fillId="0" borderId="0" xfId="0" applyFont="1" applyAlignment="1">
      <alignment horizontal="center"/>
    </xf>
    <xf numFmtId="166" fontId="67" fillId="0" borderId="0" xfId="2" applyNumberFormat="1" applyFont="1"/>
    <xf numFmtId="0" fontId="67" fillId="0" borderId="0" xfId="0" applyFont="1" applyAlignment="1">
      <alignment horizontal="right"/>
    </xf>
    <xf numFmtId="0" fontId="23" fillId="0" borderId="0" xfId="0" quotePrefix="1" applyFont="1"/>
    <xf numFmtId="8" fontId="0" fillId="0" borderId="0" xfId="0" applyNumberFormat="1" applyAlignment="1">
      <alignment vertical="top"/>
    </xf>
    <xf numFmtId="0" fontId="0" fillId="0" borderId="0" xfId="0" quotePrefix="1" applyAlignment="1">
      <alignment horizontal="center" vertical="top"/>
    </xf>
    <xf numFmtId="1" fontId="10" fillId="0" borderId="0" xfId="0" applyNumberFormat="1" applyFont="1" applyAlignment="1">
      <alignment horizontal="right" vertical="top"/>
    </xf>
    <xf numFmtId="166" fontId="3" fillId="0" borderId="17" xfId="2" applyNumberFormat="1" applyFont="1" applyBorder="1" applyAlignment="1">
      <alignment horizontal="center" vertical="top"/>
    </xf>
    <xf numFmtId="0" fontId="14" fillId="3" borderId="0" xfId="0" applyFont="1" applyFill="1" applyAlignment="1">
      <alignment horizontal="center"/>
    </xf>
    <xf numFmtId="166" fontId="19" fillId="3" borderId="0" xfId="2" applyNumberFormat="1" applyFont="1" applyFill="1"/>
    <xf numFmtId="166" fontId="45" fillId="3" borderId="0" xfId="2" applyNumberFormat="1" applyFont="1" applyFill="1" applyAlignment="1">
      <alignment horizontal="left"/>
    </xf>
    <xf numFmtId="0" fontId="0" fillId="0" borderId="0" xfId="0" applyAlignment="1">
      <alignment horizontal="left" vertical="top" wrapText="1" indent="2"/>
    </xf>
    <xf numFmtId="0" fontId="0" fillId="0" borderId="0" xfId="0" applyAlignment="1">
      <alignment horizontal="left" vertical="top" wrapText="1" indent="3"/>
    </xf>
    <xf numFmtId="0" fontId="12" fillId="0" borderId="0" xfId="0" applyFont="1" applyAlignment="1">
      <alignment horizontal="left" indent="2"/>
    </xf>
    <xf numFmtId="44" fontId="3" fillId="0" borderId="0" xfId="0" applyNumberFormat="1" applyFont="1"/>
    <xf numFmtId="165" fontId="19" fillId="0" borderId="0" xfId="0" applyNumberFormat="1" applyFont="1" applyAlignment="1">
      <alignment horizontal="left" vertical="top"/>
    </xf>
    <xf numFmtId="167" fontId="3" fillId="2" borderId="36" xfId="0" applyNumberFormat="1" applyFont="1" applyFill="1" applyBorder="1" applyAlignment="1">
      <alignment horizontal="center"/>
    </xf>
    <xf numFmtId="0" fontId="6" fillId="0" borderId="0" xfId="0" applyFont="1" applyAlignment="1">
      <alignment horizontal="center"/>
    </xf>
    <xf numFmtId="0" fontId="0" fillId="0" borderId="40" xfId="0" applyBorder="1" applyAlignment="1">
      <alignment vertical="top" wrapText="1"/>
    </xf>
    <xf numFmtId="0" fontId="0" fillId="0" borderId="40" xfId="0" applyBorder="1" applyAlignment="1">
      <alignment horizontal="left" vertical="top"/>
    </xf>
    <xf numFmtId="165" fontId="0" fillId="0" borderId="30" xfId="0" applyNumberFormat="1" applyBorder="1"/>
    <xf numFmtId="0" fontId="0" fillId="0" borderId="40" xfId="0" applyBorder="1" applyAlignment="1">
      <alignment horizontal="right" vertical="top"/>
    </xf>
    <xf numFmtId="8" fontId="0" fillId="0" borderId="0" xfId="2" applyNumberFormat="1" applyFont="1" applyFill="1"/>
    <xf numFmtId="0" fontId="0" fillId="14" borderId="0" xfId="0" applyFill="1"/>
    <xf numFmtId="166" fontId="11" fillId="0" borderId="0" xfId="2" applyNumberFormat="1" applyFont="1" applyFill="1"/>
    <xf numFmtId="0" fontId="2" fillId="2" borderId="0" xfId="0" applyFont="1" applyFill="1"/>
    <xf numFmtId="166" fontId="68" fillId="0" borderId="0" xfId="2" applyNumberFormat="1" applyFont="1" applyFill="1" applyAlignment="1">
      <alignment horizontal="right"/>
    </xf>
    <xf numFmtId="0" fontId="0" fillId="0" borderId="40" xfId="0" applyBorder="1"/>
    <xf numFmtId="0" fontId="14" fillId="0" borderId="40" xfId="0" applyFont="1" applyBorder="1" applyAlignment="1">
      <alignment horizontal="right" vertical="top"/>
    </xf>
    <xf numFmtId="0" fontId="3" fillId="0" borderId="40" xfId="0" applyFont="1" applyBorder="1" applyAlignment="1">
      <alignment horizontal="right" vertical="top"/>
    </xf>
    <xf numFmtId="0" fontId="0" fillId="0" borderId="41" xfId="0" applyBorder="1"/>
    <xf numFmtId="165" fontId="0" fillId="0" borderId="33" xfId="0" applyNumberFormat="1" applyBorder="1"/>
    <xf numFmtId="2" fontId="0" fillId="0" borderId="0" xfId="0" applyNumberFormat="1" applyAlignment="1">
      <alignment horizontal="right"/>
    </xf>
    <xf numFmtId="2" fontId="0" fillId="2" borderId="0" xfId="0" applyNumberFormat="1" applyFill="1"/>
    <xf numFmtId="2" fontId="0" fillId="2" borderId="0" xfId="0" applyNumberFormat="1" applyFill="1" applyAlignment="1">
      <alignment horizontal="right"/>
    </xf>
    <xf numFmtId="0" fontId="3" fillId="12" borderId="30" xfId="0" applyFont="1" applyFill="1" applyBorder="1"/>
    <xf numFmtId="165" fontId="0" fillId="0" borderId="11" xfId="0" applyNumberFormat="1" applyBorder="1"/>
    <xf numFmtId="165" fontId="0" fillId="0" borderId="44" xfId="0" applyNumberFormat="1" applyBorder="1"/>
    <xf numFmtId="0" fontId="19" fillId="0" borderId="0" xfId="0" applyFont="1" applyAlignment="1">
      <alignment horizontal="left" indent="1"/>
    </xf>
    <xf numFmtId="0" fontId="3" fillId="14" borderId="0" xfId="0" applyFont="1" applyFill="1"/>
    <xf numFmtId="2" fontId="3" fillId="0" borderId="0" xfId="0" applyNumberFormat="1" applyFont="1" applyAlignment="1">
      <alignment horizontal="right"/>
    </xf>
    <xf numFmtId="0" fontId="0" fillId="0" borderId="45" xfId="0" applyBorder="1"/>
    <xf numFmtId="165" fontId="0" fillId="0" borderId="10" xfId="0" applyNumberFormat="1" applyBorder="1"/>
    <xf numFmtId="165" fontId="0" fillId="0" borderId="6" xfId="0" applyNumberFormat="1" applyBorder="1"/>
    <xf numFmtId="0" fontId="0" fillId="0" borderId="37" xfId="0" applyBorder="1"/>
    <xf numFmtId="165" fontId="0" fillId="0" borderId="38" xfId="0" applyNumberFormat="1" applyBorder="1"/>
    <xf numFmtId="165" fontId="0" fillId="0" borderId="43" xfId="0" applyNumberFormat="1" applyBorder="1"/>
    <xf numFmtId="0" fontId="19" fillId="0" borderId="41" xfId="0" applyFont="1" applyBorder="1" applyAlignment="1">
      <alignment horizontal="right" vertical="top"/>
    </xf>
    <xf numFmtId="165" fontId="0" fillId="0" borderId="19" xfId="0" applyNumberFormat="1" applyBorder="1"/>
    <xf numFmtId="165" fontId="3" fillId="0" borderId="30" xfId="0" applyNumberFormat="1" applyFont="1" applyBorder="1"/>
    <xf numFmtId="165" fontId="3" fillId="0" borderId="38" xfId="0" applyNumberFormat="1" applyFont="1" applyBorder="1"/>
    <xf numFmtId="0" fontId="0" fillId="0" borderId="40" xfId="0" applyBorder="1" applyAlignment="1">
      <alignment horizontal="left" indent="1"/>
    </xf>
    <xf numFmtId="165" fontId="3" fillId="12" borderId="30" xfId="0" applyNumberFormat="1" applyFont="1" applyFill="1" applyBorder="1"/>
    <xf numFmtId="165" fontId="3" fillId="0" borderId="30" xfId="0" applyNumberFormat="1" applyFont="1" applyBorder="1" applyAlignment="1">
      <alignment horizontal="right" vertical="top"/>
    </xf>
    <xf numFmtId="165" fontId="0" fillId="0" borderId="13" xfId="0" applyNumberFormat="1" applyBorder="1"/>
    <xf numFmtId="165" fontId="0" fillId="0" borderId="47" xfId="0" applyNumberFormat="1" applyBorder="1"/>
    <xf numFmtId="0" fontId="0" fillId="0" borderId="47" xfId="0" applyBorder="1"/>
    <xf numFmtId="174" fontId="0" fillId="0" borderId="47" xfId="0" applyNumberFormat="1" applyBorder="1" applyAlignment="1">
      <alignment horizontal="center"/>
    </xf>
    <xf numFmtId="0" fontId="0" fillId="0" borderId="47" xfId="0" applyBorder="1" applyAlignment="1">
      <alignment horizontal="center"/>
    </xf>
    <xf numFmtId="2" fontId="0" fillId="0" borderId="47" xfId="0" applyNumberFormat="1" applyBorder="1" applyAlignment="1">
      <alignment horizontal="center"/>
    </xf>
    <xf numFmtId="0" fontId="0" fillId="0" borderId="48" xfId="0" applyBorder="1"/>
    <xf numFmtId="0" fontId="0" fillId="0" borderId="49" xfId="0" applyBorder="1"/>
    <xf numFmtId="165" fontId="0" fillId="0" borderId="26" xfId="0" applyNumberFormat="1" applyBorder="1"/>
    <xf numFmtId="165" fontId="0" fillId="0" borderId="49" xfId="0" applyNumberFormat="1" applyBorder="1"/>
    <xf numFmtId="0" fontId="3" fillId="0" borderId="46" xfId="0" applyFont="1" applyBorder="1" applyAlignment="1">
      <alignment horizontal="center" vertical="top" wrapText="1"/>
    </xf>
    <xf numFmtId="165" fontId="19" fillId="0" borderId="30" xfId="0" applyNumberFormat="1" applyFont="1" applyBorder="1" applyAlignment="1">
      <alignment horizontal="right" vertical="top"/>
    </xf>
    <xf numFmtId="173" fontId="19" fillId="0" borderId="30" xfId="0" applyNumberFormat="1" applyFont="1" applyBorder="1" applyAlignment="1">
      <alignment horizontal="right" vertical="top"/>
    </xf>
    <xf numFmtId="165" fontId="19" fillId="0" borderId="0" xfId="0" applyNumberFormat="1" applyFont="1" applyAlignment="1">
      <alignment horizontal="right"/>
    </xf>
    <xf numFmtId="0" fontId="19" fillId="3" borderId="0" xfId="0" applyFont="1" applyFill="1" applyAlignment="1">
      <alignment horizontal="center"/>
    </xf>
    <xf numFmtId="0" fontId="19" fillId="0" borderId="0" xfId="0" applyFont="1" applyAlignment="1">
      <alignment horizontal="center"/>
    </xf>
    <xf numFmtId="1" fontId="14" fillId="0" borderId="0" xfId="0" applyNumberFormat="1" applyFont="1" applyAlignment="1">
      <alignment vertical="top"/>
    </xf>
    <xf numFmtId="0" fontId="19" fillId="3" borderId="19" xfId="0" applyFont="1" applyFill="1" applyBorder="1"/>
    <xf numFmtId="0" fontId="19" fillId="3" borderId="19" xfId="0" applyFont="1" applyFill="1" applyBorder="1" applyAlignment="1">
      <alignment horizontal="center"/>
    </xf>
    <xf numFmtId="164" fontId="14" fillId="0" borderId="0" xfId="1" applyNumberFormat="1" applyFont="1"/>
    <xf numFmtId="164" fontId="19" fillId="2" borderId="0" xfId="0" applyNumberFormat="1" applyFont="1" applyFill="1"/>
    <xf numFmtId="164" fontId="14" fillId="0" borderId="0" xfId="1" applyNumberFormat="1" applyFont="1" applyFill="1"/>
    <xf numFmtId="0" fontId="69" fillId="0" borderId="0" xfId="0" applyFont="1" applyAlignment="1">
      <alignment horizontal="left"/>
    </xf>
    <xf numFmtId="6" fontId="10" fillId="0" borderId="0" xfId="0" applyNumberFormat="1" applyFont="1"/>
    <xf numFmtId="0" fontId="19" fillId="0" borderId="30" xfId="0" applyFont="1" applyBorder="1" applyAlignment="1">
      <alignment horizontal="center" wrapText="1"/>
    </xf>
    <xf numFmtId="173" fontId="19" fillId="0" borderId="30" xfId="0" applyNumberFormat="1" applyFont="1" applyBorder="1" applyAlignment="1">
      <alignment horizontal="right" wrapText="1"/>
    </xf>
    <xf numFmtId="165" fontId="19" fillId="0" borderId="30" xfId="0" applyNumberFormat="1" applyFont="1" applyBorder="1" applyAlignment="1">
      <alignment horizontal="right" wrapText="1"/>
    </xf>
    <xf numFmtId="0" fontId="14" fillId="0" borderId="30" xfId="0" applyFont="1" applyBorder="1" applyAlignment="1">
      <alignment horizontal="right" wrapText="1"/>
    </xf>
    <xf numFmtId="1" fontId="14" fillId="0" borderId="30" xfId="0" applyNumberFormat="1" applyFont="1" applyBorder="1" applyAlignment="1">
      <alignment horizontal="right" wrapText="1"/>
    </xf>
    <xf numFmtId="164" fontId="14" fillId="0" borderId="30" xfId="5" applyNumberFormat="1" applyFont="1" applyFill="1" applyBorder="1" applyAlignment="1">
      <alignment horizontal="right" vertical="center" wrapText="1"/>
    </xf>
    <xf numFmtId="0" fontId="19" fillId="0" borderId="16" xfId="0" applyFont="1" applyBorder="1"/>
    <xf numFmtId="164" fontId="19" fillId="0" borderId="30" xfId="5" applyNumberFormat="1" applyFont="1" applyFill="1" applyBorder="1" applyAlignment="1">
      <alignment horizontal="right" wrapText="1"/>
    </xf>
    <xf numFmtId="164" fontId="14" fillId="0" borderId="30" xfId="1" applyNumberFormat="1" applyFont="1" applyFill="1" applyBorder="1" applyAlignment="1">
      <alignment horizontal="right" wrapText="1"/>
    </xf>
    <xf numFmtId="164" fontId="19" fillId="0" borderId="30" xfId="1" applyNumberFormat="1" applyFont="1" applyFill="1" applyBorder="1" applyAlignment="1">
      <alignment horizontal="right" wrapText="1"/>
    </xf>
    <xf numFmtId="164" fontId="19" fillId="0" borderId="33" xfId="1" applyNumberFormat="1" applyFont="1" applyBorder="1" applyAlignment="1">
      <alignment horizontal="right" wrapText="1"/>
    </xf>
    <xf numFmtId="0" fontId="14" fillId="0" borderId="20" xfId="0" applyFont="1" applyBorder="1"/>
    <xf numFmtId="0" fontId="14" fillId="3" borderId="0" xfId="0" applyFont="1" applyFill="1" applyAlignment="1">
      <alignment horizontal="right" wrapText="1"/>
    </xf>
    <xf numFmtId="0" fontId="19" fillId="3" borderId="0" xfId="0" applyFont="1" applyFill="1" applyAlignment="1">
      <alignment horizontal="right" wrapText="1"/>
    </xf>
    <xf numFmtId="0" fontId="19" fillId="2" borderId="22" xfId="0" applyFont="1" applyFill="1" applyBorder="1" applyAlignment="1">
      <alignment horizontal="center"/>
    </xf>
    <xf numFmtId="0" fontId="19" fillId="0" borderId="30" xfId="0" applyFont="1" applyBorder="1" applyAlignment="1">
      <alignment horizontal="center" vertical="top"/>
    </xf>
    <xf numFmtId="0" fontId="19" fillId="0" borderId="30" xfId="0" applyFont="1" applyBorder="1" applyAlignment="1">
      <alignment horizontal="center" vertical="top" wrapText="1"/>
    </xf>
    <xf numFmtId="1" fontId="19" fillId="0" borderId="30" xfId="0" applyNumberFormat="1" applyFont="1" applyBorder="1" applyAlignment="1">
      <alignment horizontal="right" wrapText="1"/>
    </xf>
    <xf numFmtId="165" fontId="19" fillId="0" borderId="30" xfId="0" applyNumberFormat="1" applyFont="1" applyBorder="1" applyAlignment="1">
      <alignment horizontal="right"/>
    </xf>
    <xf numFmtId="165" fontId="14" fillId="0" borderId="30" xfId="0" applyNumberFormat="1" applyFont="1" applyBorder="1" applyAlignment="1">
      <alignment horizontal="right" wrapText="1"/>
    </xf>
    <xf numFmtId="164" fontId="14" fillId="0" borderId="30" xfId="5" applyNumberFormat="1" applyFont="1" applyBorder="1" applyAlignment="1">
      <alignment horizontal="right" wrapText="1"/>
    </xf>
    <xf numFmtId="0" fontId="19" fillId="0" borderId="30" xfId="0" applyFont="1" applyBorder="1" applyAlignment="1">
      <alignment horizontal="right" wrapText="1"/>
    </xf>
    <xf numFmtId="0" fontId="19" fillId="0" borderId="30" xfId="0" applyFont="1" applyBorder="1" applyAlignment="1">
      <alignment horizontal="right"/>
    </xf>
    <xf numFmtId="0" fontId="14" fillId="0" borderId="30" xfId="0" applyFont="1" applyBorder="1" applyAlignment="1">
      <alignment horizontal="right"/>
    </xf>
    <xf numFmtId="0" fontId="19" fillId="0" borderId="18" xfId="0" applyFont="1" applyBorder="1"/>
    <xf numFmtId="0" fontId="14" fillId="0" borderId="33" xfId="0" applyFont="1" applyBorder="1" applyAlignment="1">
      <alignment horizontal="right" wrapText="1"/>
    </xf>
    <xf numFmtId="0" fontId="14" fillId="3" borderId="0" xfId="0" applyFont="1" applyFill="1" applyAlignment="1">
      <alignment horizontal="right"/>
    </xf>
    <xf numFmtId="0" fontId="14" fillId="3" borderId="0" xfId="0" applyFont="1" applyFill="1" applyAlignment="1">
      <alignment wrapText="1"/>
    </xf>
    <xf numFmtId="0" fontId="14" fillId="3" borderId="0" xfId="0" applyFont="1" applyFill="1" applyAlignment="1">
      <alignment horizontal="center" wrapText="1"/>
    </xf>
    <xf numFmtId="0" fontId="14" fillId="0" borderId="0" xfId="0" applyFont="1" applyAlignment="1">
      <alignment wrapText="1"/>
    </xf>
    <xf numFmtId="0" fontId="19" fillId="0" borderId="37" xfId="0" applyFont="1" applyBorder="1" applyAlignment="1">
      <alignment horizontal="center" vertical="top" wrapText="1"/>
    </xf>
    <xf numFmtId="0" fontId="19" fillId="0" borderId="38" xfId="0" applyFont="1" applyBorder="1" applyAlignment="1">
      <alignment horizontal="center" vertical="top" wrapText="1"/>
    </xf>
    <xf numFmtId="0" fontId="19" fillId="0" borderId="39" xfId="0" applyFont="1" applyBorder="1" applyAlignment="1">
      <alignment horizontal="center" vertical="top" wrapText="1"/>
    </xf>
    <xf numFmtId="0" fontId="19" fillId="0" borderId="16" xfId="0" applyFont="1" applyBorder="1" applyAlignment="1">
      <alignment vertical="top"/>
    </xf>
    <xf numFmtId="0" fontId="14" fillId="0" borderId="40" xfId="0" applyFont="1" applyBorder="1" applyAlignment="1">
      <alignment horizontal="center" vertical="top" wrapText="1"/>
    </xf>
    <xf numFmtId="0" fontId="14" fillId="0" borderId="30" xfId="0" applyFont="1" applyBorder="1" applyAlignment="1">
      <alignment horizontal="center" vertical="top" wrapText="1"/>
    </xf>
    <xf numFmtId="0" fontId="14" fillId="0" borderId="31" xfId="0" applyFont="1" applyBorder="1" applyAlignment="1">
      <alignment horizontal="center" vertical="top" wrapText="1"/>
    </xf>
    <xf numFmtId="0" fontId="14" fillId="0" borderId="40" xfId="0" applyFont="1" applyBorder="1" applyAlignment="1">
      <alignment horizontal="center"/>
    </xf>
    <xf numFmtId="0" fontId="14" fillId="0" borderId="31" xfId="0" applyFont="1" applyBorder="1" applyAlignment="1">
      <alignment horizontal="center"/>
    </xf>
    <xf numFmtId="164" fontId="14" fillId="0" borderId="31" xfId="1" applyNumberFormat="1" applyFont="1" applyBorder="1" applyAlignment="1">
      <alignment horizontal="center"/>
    </xf>
    <xf numFmtId="165" fontId="19" fillId="0" borderId="40" xfId="0" applyNumberFormat="1" applyFont="1" applyBorder="1" applyAlignment="1">
      <alignment horizontal="center"/>
    </xf>
    <xf numFmtId="164" fontId="14" fillId="0" borderId="31" xfId="1" applyNumberFormat="1" applyFont="1" applyFill="1" applyBorder="1" applyAlignment="1">
      <alignment horizontal="center"/>
    </xf>
    <xf numFmtId="165" fontId="19" fillId="0" borderId="41" xfId="0" applyNumberFormat="1" applyFont="1" applyBorder="1" applyAlignment="1">
      <alignment horizontal="center"/>
    </xf>
    <xf numFmtId="0" fontId="14" fillId="0" borderId="33" xfId="0" applyFont="1" applyBorder="1" applyAlignment="1">
      <alignment horizontal="center"/>
    </xf>
    <xf numFmtId="164" fontId="14" fillId="0" borderId="42" xfId="1" applyNumberFormat="1" applyFont="1" applyBorder="1" applyAlignment="1">
      <alignment horizontal="center"/>
    </xf>
    <xf numFmtId="0" fontId="19" fillId="0" borderId="16" xfId="0" applyFont="1" applyBorder="1" applyAlignment="1">
      <alignment horizontal="right"/>
    </xf>
    <xf numFmtId="165" fontId="19" fillId="0" borderId="0" xfId="0" applyNumberFormat="1" applyFont="1" applyAlignment="1">
      <alignment horizontal="center"/>
    </xf>
    <xf numFmtId="1" fontId="19" fillId="0" borderId="0" xfId="0" applyNumberFormat="1" applyFont="1" applyAlignment="1">
      <alignment horizontal="center"/>
    </xf>
    <xf numFmtId="1" fontId="19" fillId="0" borderId="17" xfId="0" applyNumberFormat="1" applyFont="1" applyBorder="1" applyAlignment="1">
      <alignment horizontal="center"/>
    </xf>
    <xf numFmtId="0" fontId="14" fillId="0" borderId="30" xfId="0" applyFont="1" applyBorder="1" applyAlignment="1">
      <alignment horizontal="center" wrapText="1"/>
    </xf>
    <xf numFmtId="1" fontId="14" fillId="0" borderId="30" xfId="0" applyNumberFormat="1" applyFont="1" applyBorder="1"/>
    <xf numFmtId="1" fontId="19" fillId="0" borderId="30" xfId="0" applyNumberFormat="1" applyFont="1" applyBorder="1" applyAlignment="1">
      <alignment horizontal="right"/>
    </xf>
    <xf numFmtId="165" fontId="14" fillId="0" borderId="30" xfId="0" applyNumberFormat="1" applyFont="1" applyBorder="1" applyAlignment="1">
      <alignment horizontal="right"/>
    </xf>
    <xf numFmtId="0" fontId="19" fillId="0" borderId="30" xfId="0" quotePrefix="1" applyFont="1" applyBorder="1" applyAlignment="1">
      <alignment horizontal="right"/>
    </xf>
    <xf numFmtId="0" fontId="14" fillId="0" borderId="30" xfId="0" quotePrefix="1" applyFont="1" applyBorder="1" applyAlignment="1">
      <alignment horizontal="right"/>
    </xf>
    <xf numFmtId="164" fontId="14" fillId="0" borderId="30" xfId="1" applyNumberFormat="1" applyFont="1" applyBorder="1" applyAlignment="1">
      <alignment horizontal="right"/>
    </xf>
    <xf numFmtId="164" fontId="19" fillId="0" borderId="30" xfId="1" applyNumberFormat="1" applyFont="1" applyFill="1" applyBorder="1"/>
    <xf numFmtId="164" fontId="19" fillId="0" borderId="30" xfId="1" applyNumberFormat="1" applyFont="1" applyBorder="1"/>
    <xf numFmtId="164" fontId="14" fillId="0" borderId="0" xfId="1" applyNumberFormat="1" applyFont="1" applyFill="1" applyBorder="1" applyAlignment="1">
      <alignment horizontal="right"/>
    </xf>
    <xf numFmtId="164" fontId="19" fillId="0" borderId="0" xfId="1" applyNumberFormat="1" applyFont="1" applyFill="1" applyAlignment="1">
      <alignment horizontal="right"/>
    </xf>
    <xf numFmtId="164" fontId="19" fillId="0" borderId="0" xfId="1" applyNumberFormat="1" applyFont="1" applyFill="1" applyBorder="1" applyAlignment="1">
      <alignment horizontal="right" wrapText="1"/>
    </xf>
    <xf numFmtId="166" fontId="10" fillId="0" borderId="0" xfId="0" applyNumberFormat="1" applyFont="1"/>
    <xf numFmtId="0" fontId="70" fillId="0" borderId="0" xfId="0" applyFont="1"/>
    <xf numFmtId="0" fontId="61" fillId="0" borderId="0" xfId="0" applyFont="1"/>
    <xf numFmtId="0" fontId="71" fillId="0" borderId="7" xfId="0" applyFont="1" applyBorder="1" applyAlignment="1">
      <alignment horizontal="center"/>
    </xf>
    <xf numFmtId="166" fontId="72" fillId="0" borderId="0" xfId="2" applyNumberFormat="1" applyFont="1" applyFill="1"/>
    <xf numFmtId="44" fontId="10" fillId="0" borderId="0" xfId="2" applyFont="1" applyFill="1" applyBorder="1" applyAlignment="1"/>
    <xf numFmtId="44" fontId="11" fillId="0" borderId="0" xfId="2" applyFont="1" applyFill="1" applyBorder="1" applyAlignment="1"/>
    <xf numFmtId="0" fontId="73" fillId="0" borderId="0" xfId="0" applyFont="1"/>
    <xf numFmtId="44" fontId="10" fillId="0" borderId="0" xfId="2" applyFont="1" applyBorder="1" applyAlignment="1"/>
    <xf numFmtId="0" fontId="10" fillId="2" borderId="0" xfId="0" applyFont="1" applyFill="1"/>
    <xf numFmtId="0" fontId="16" fillId="0" borderId="0" xfId="0" quotePrefix="1" applyFont="1"/>
    <xf numFmtId="0" fontId="16" fillId="0" borderId="7" xfId="0" quotePrefix="1" applyFont="1" applyBorder="1"/>
    <xf numFmtId="0" fontId="10" fillId="0" borderId="0" xfId="0" quotePrefix="1" applyFont="1"/>
    <xf numFmtId="43" fontId="10" fillId="0" borderId="0" xfId="0" applyNumberFormat="1" applyFont="1"/>
    <xf numFmtId="0" fontId="11" fillId="0" borderId="0" xfId="0" applyFont="1" applyAlignment="1">
      <alignment horizontal="center"/>
    </xf>
    <xf numFmtId="166" fontId="74" fillId="0" borderId="0" xfId="0" applyNumberFormat="1" applyFont="1"/>
    <xf numFmtId="170" fontId="10" fillId="0" borderId="0" xfId="0" applyNumberFormat="1" applyFont="1"/>
    <xf numFmtId="170" fontId="10" fillId="0" borderId="7" xfId="0" applyNumberFormat="1" applyFont="1" applyBorder="1"/>
    <xf numFmtId="170" fontId="11" fillId="0" borderId="0" xfId="0" applyNumberFormat="1" applyFont="1"/>
    <xf numFmtId="0" fontId="75" fillId="0" borderId="0" xfId="0" quotePrefix="1" applyFont="1"/>
    <xf numFmtId="0" fontId="75" fillId="0" borderId="0" xfId="0" applyFont="1"/>
    <xf numFmtId="0" fontId="10" fillId="0" borderId="0" xfId="0" applyFont="1" applyAlignment="1">
      <alignment horizontal="left" indent="2"/>
    </xf>
    <xf numFmtId="166" fontId="0" fillId="0" borderId="7" xfId="2" applyNumberFormat="1" applyFont="1" applyBorder="1" applyAlignment="1">
      <alignment horizontal="left"/>
    </xf>
    <xf numFmtId="166" fontId="10" fillId="0" borderId="7" xfId="0" applyNumberFormat="1" applyFont="1" applyBorder="1"/>
    <xf numFmtId="166" fontId="3" fillId="2" borderId="0" xfId="0" applyNumberFormat="1" applyFont="1" applyFill="1" applyAlignment="1">
      <alignment horizontal="center"/>
    </xf>
    <xf numFmtId="0" fontId="3" fillId="0" borderId="30" xfId="0" applyFont="1" applyBorder="1" applyAlignment="1">
      <alignment horizontal="right" wrapText="1"/>
    </xf>
    <xf numFmtId="14" fontId="3" fillId="0" borderId="0" xfId="0" applyNumberFormat="1" applyFont="1" applyAlignment="1">
      <alignment horizontal="left" vertical="top"/>
    </xf>
    <xf numFmtId="166" fontId="0" fillId="0" borderId="0" xfId="2" applyNumberFormat="1" applyFont="1" applyFill="1" applyBorder="1" applyAlignment="1">
      <alignment horizontal="left"/>
    </xf>
    <xf numFmtId="166" fontId="14" fillId="0" borderId="0" xfId="2" applyNumberFormat="1" applyFont="1" applyFill="1" applyBorder="1" applyAlignment="1">
      <alignment horizontal="left"/>
    </xf>
    <xf numFmtId="167" fontId="19" fillId="2" borderId="0" xfId="3" applyNumberFormat="1" applyFont="1" applyFill="1" applyAlignment="1">
      <alignment horizontal="center"/>
    </xf>
    <xf numFmtId="166" fontId="11" fillId="0" borderId="0" xfId="0" applyNumberFormat="1" applyFont="1" applyAlignment="1">
      <alignment horizontal="left"/>
    </xf>
    <xf numFmtId="166" fontId="77" fillId="0" borderId="0" xfId="2" applyNumberFormat="1" applyFont="1" applyFill="1" applyAlignment="1">
      <alignment horizontal="left"/>
    </xf>
    <xf numFmtId="0" fontId="78" fillId="0" borderId="0" xfId="0" applyFont="1"/>
    <xf numFmtId="0" fontId="79" fillId="0" borderId="0" xfId="0" applyFont="1"/>
    <xf numFmtId="0" fontId="80" fillId="0" borderId="0" xfId="0" applyFont="1"/>
    <xf numFmtId="0" fontId="3" fillId="0" borderId="4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19" fillId="0" borderId="50" xfId="0" applyFont="1" applyBorder="1" applyAlignment="1">
      <alignment horizontal="center" vertical="top" wrapText="1"/>
    </xf>
    <xf numFmtId="165" fontId="19" fillId="0" borderId="51" xfId="0" applyNumberFormat="1" applyFont="1" applyBorder="1" applyAlignment="1">
      <alignment horizontal="right" vertical="top"/>
    </xf>
    <xf numFmtId="165" fontId="14" fillId="0" borderId="52" xfId="0" applyNumberFormat="1" applyFont="1" applyBorder="1" applyAlignment="1">
      <alignment horizontal="right" vertical="top"/>
    </xf>
    <xf numFmtId="165" fontId="19" fillId="0" borderId="52" xfId="0" applyNumberFormat="1" applyFont="1" applyBorder="1" applyAlignment="1">
      <alignment horizontal="right" vertical="top"/>
    </xf>
    <xf numFmtId="0" fontId="14" fillId="0" borderId="52" xfId="0" applyFont="1" applyBorder="1" applyAlignment="1">
      <alignment horizontal="right" vertical="top"/>
    </xf>
    <xf numFmtId="0" fontId="19" fillId="0" borderId="52" xfId="0" applyFont="1" applyBorder="1" applyAlignment="1">
      <alignment horizontal="right" vertical="top"/>
    </xf>
    <xf numFmtId="165" fontId="14" fillId="0" borderId="53" xfId="0" applyNumberFormat="1" applyFont="1" applyBorder="1" applyAlignment="1">
      <alignment horizontal="right" vertical="top"/>
    </xf>
    <xf numFmtId="165" fontId="19" fillId="0" borderId="54" xfId="0" applyNumberFormat="1" applyFont="1" applyBorder="1" applyAlignment="1">
      <alignment horizontal="right" vertical="top"/>
    </xf>
    <xf numFmtId="165" fontId="14" fillId="0" borderId="55" xfId="0" applyNumberFormat="1" applyFont="1" applyBorder="1" applyAlignment="1">
      <alignment horizontal="right" vertical="top"/>
    </xf>
    <xf numFmtId="165" fontId="14" fillId="0" borderId="54" xfId="0" applyNumberFormat="1" applyFont="1" applyBorder="1" applyAlignment="1">
      <alignment horizontal="right" vertical="top"/>
    </xf>
    <xf numFmtId="6" fontId="11" fillId="0" borderId="0" xfId="0" applyNumberFormat="1" applyFont="1"/>
    <xf numFmtId="164" fontId="0" fillId="0" borderId="0" xfId="1" applyNumberFormat="1" applyFont="1" applyFill="1" applyBorder="1"/>
    <xf numFmtId="166" fontId="10" fillId="0" borderId="0" xfId="2" applyNumberFormat="1" applyFont="1" applyFill="1"/>
    <xf numFmtId="0" fontId="0" fillId="0" borderId="0" xfId="1" applyNumberFormat="1" applyFont="1" applyFill="1" applyAlignment="1">
      <alignment horizontal="left"/>
    </xf>
    <xf numFmtId="166" fontId="0" fillId="0" borderId="0" xfId="2" applyNumberFormat="1" applyFont="1" applyFill="1" applyAlignment="1">
      <alignment horizontal="center"/>
    </xf>
    <xf numFmtId="165" fontId="14" fillId="0" borderId="30" xfId="0" applyNumberFormat="1" applyFont="1" applyBorder="1" applyAlignment="1">
      <alignment horizontal="center"/>
    </xf>
    <xf numFmtId="0" fontId="19" fillId="0" borderId="30" xfId="0" applyFont="1" applyBorder="1" applyAlignment="1">
      <alignment horizontal="left" vertical="top" indent="2"/>
    </xf>
    <xf numFmtId="0" fontId="19" fillId="0" borderId="17" xfId="0" applyFont="1" applyBorder="1" applyAlignment="1">
      <alignment horizontal="center" wrapText="1"/>
    </xf>
    <xf numFmtId="1" fontId="19" fillId="0" borderId="17" xfId="0" applyNumberFormat="1" applyFont="1" applyBorder="1"/>
    <xf numFmtId="164" fontId="14" fillId="0" borderId="30" xfId="5" applyNumberFormat="1" applyFont="1" applyFill="1" applyBorder="1" applyAlignment="1">
      <alignment horizontal="right" wrapText="1"/>
    </xf>
    <xf numFmtId="164" fontId="14" fillId="0" borderId="30" xfId="5" applyNumberFormat="1" applyFont="1" applyFill="1" applyBorder="1" applyAlignment="1">
      <alignment horizontal="right"/>
    </xf>
    <xf numFmtId="164" fontId="19" fillId="0" borderId="33" xfId="1" applyNumberFormat="1" applyFont="1" applyFill="1" applyBorder="1" applyAlignment="1">
      <alignment horizontal="right" wrapText="1"/>
    </xf>
    <xf numFmtId="164" fontId="19" fillId="0" borderId="33" xfId="1" applyNumberFormat="1" applyFont="1" applyFill="1" applyBorder="1" applyAlignment="1">
      <alignment horizontal="right"/>
    </xf>
    <xf numFmtId="0" fontId="19" fillId="0" borderId="33" xfId="0" applyFont="1" applyBorder="1" applyAlignment="1">
      <alignment horizontal="right" wrapText="1"/>
    </xf>
    <xf numFmtId="0" fontId="19" fillId="0" borderId="33" xfId="0" applyFont="1" applyBorder="1" applyAlignment="1">
      <alignment horizontal="right"/>
    </xf>
    <xf numFmtId="0" fontId="19" fillId="0" borderId="20" xfId="0" applyFont="1" applyBorder="1"/>
    <xf numFmtId="0" fontId="19" fillId="0" borderId="0" xfId="0" applyFont="1" applyAlignment="1">
      <alignment horizontal="center" vertical="top"/>
    </xf>
    <xf numFmtId="0" fontId="19" fillId="0" borderId="0" xfId="0" applyFont="1" applyAlignment="1">
      <alignment horizontal="center" vertical="top" wrapText="1"/>
    </xf>
    <xf numFmtId="16" fontId="14" fillId="0" borderId="0" xfId="0" quotePrefix="1" applyNumberFormat="1" applyFont="1" applyAlignment="1">
      <alignment horizontal="right"/>
    </xf>
    <xf numFmtId="0" fontId="14" fillId="0" borderId="0" xfId="0" quotePrefix="1" applyFont="1" applyAlignment="1">
      <alignment horizontal="right"/>
    </xf>
    <xf numFmtId="0" fontId="14" fillId="0" borderId="7" xfId="0" quotePrefix="1" applyFont="1" applyBorder="1" applyAlignment="1">
      <alignment horizontal="right"/>
    </xf>
    <xf numFmtId="1" fontId="14" fillId="0" borderId="7" xfId="0" applyNumberFormat="1" applyFont="1" applyBorder="1"/>
    <xf numFmtId="165" fontId="19" fillId="0" borderId="7" xfId="0" applyNumberFormat="1" applyFont="1" applyBorder="1"/>
    <xf numFmtId="0" fontId="19" fillId="0" borderId="0" xfId="0" applyFont="1" applyAlignment="1">
      <alignment horizontal="right" wrapText="1"/>
    </xf>
    <xf numFmtId="165" fontId="19" fillId="0" borderId="0" xfId="0" applyNumberFormat="1" applyFont="1" applyAlignment="1">
      <alignment horizontal="right" indent="1"/>
    </xf>
    <xf numFmtId="166" fontId="0" fillId="0" borderId="0" xfId="2" quotePrefix="1" applyNumberFormat="1" applyFont="1" applyFill="1" applyBorder="1" applyAlignment="1"/>
    <xf numFmtId="166" fontId="0" fillId="0" borderId="0" xfId="2" applyNumberFormat="1" applyFont="1" applyFill="1" applyBorder="1"/>
    <xf numFmtId="0" fontId="0" fillId="0" borderId="0" xfId="0" applyAlignment="1">
      <alignment horizontal="left" vertical="top" indent="1"/>
    </xf>
    <xf numFmtId="0" fontId="0" fillId="0" borderId="0" xfId="0" applyAlignment="1">
      <alignment horizontal="left" vertical="top" indent="2"/>
    </xf>
    <xf numFmtId="166" fontId="81" fillId="0" borderId="0" xfId="2" applyNumberFormat="1" applyFont="1" applyFill="1"/>
    <xf numFmtId="166" fontId="82" fillId="0" borderId="0" xfId="2" applyNumberFormat="1" applyFont="1" applyFill="1" applyAlignment="1">
      <alignment horizontal="left" indent="3"/>
    </xf>
    <xf numFmtId="166" fontId="76" fillId="0" borderId="0" xfId="2" applyNumberFormat="1" applyFont="1" applyFill="1"/>
    <xf numFmtId="166" fontId="1" fillId="0" borderId="0" xfId="2" applyNumberFormat="1" applyFont="1" applyFill="1"/>
    <xf numFmtId="0" fontId="1" fillId="0" borderId="0" xfId="0" applyFont="1"/>
    <xf numFmtId="2" fontId="10" fillId="0" borderId="0" xfId="0" applyNumberFormat="1" applyFont="1"/>
    <xf numFmtId="0" fontId="10" fillId="0" borderId="0" xfId="0" applyFont="1" applyAlignment="1">
      <alignment horizontal="right"/>
    </xf>
    <xf numFmtId="1" fontId="10" fillId="0" borderId="0" xfId="0" applyNumberFormat="1" applyFont="1"/>
    <xf numFmtId="170" fontId="10" fillId="0" borderId="0" xfId="2" applyNumberFormat="1" applyFont="1" applyFill="1"/>
    <xf numFmtId="9" fontId="10" fillId="0" borderId="0" xfId="0" applyNumberFormat="1" applyFont="1" applyAlignment="1">
      <alignment horizontal="center"/>
    </xf>
    <xf numFmtId="166" fontId="10" fillId="0" borderId="0" xfId="2" applyNumberFormat="1" applyFont="1" applyBorder="1" applyAlignment="1">
      <alignment horizontal="left"/>
    </xf>
    <xf numFmtId="166" fontId="10" fillId="0" borderId="7" xfId="2" applyNumberFormat="1" applyFont="1" applyBorder="1" applyAlignment="1">
      <alignment horizontal="left"/>
    </xf>
    <xf numFmtId="166" fontId="10" fillId="0" borderId="0" xfId="2" applyNumberFormat="1" applyFont="1" applyFill="1" applyBorder="1" applyAlignment="1">
      <alignment horizontal="left"/>
    </xf>
    <xf numFmtId="166" fontId="10" fillId="0" borderId="0" xfId="0" applyNumberFormat="1" applyFont="1" applyAlignment="1">
      <alignment horizontal="left"/>
    </xf>
    <xf numFmtId="166" fontId="16" fillId="0" borderId="0" xfId="2" applyNumberFormat="1" applyFont="1" applyFill="1" applyBorder="1" applyAlignment="1">
      <alignment horizontal="left"/>
    </xf>
    <xf numFmtId="166" fontId="16" fillId="0" borderId="0" xfId="2" applyNumberFormat="1" applyFont="1" applyFill="1"/>
    <xf numFmtId="166" fontId="10" fillId="0" borderId="0" xfId="0" applyNumberFormat="1" applyFont="1" applyAlignment="1">
      <alignment horizontal="right"/>
    </xf>
    <xf numFmtId="0" fontId="6" fillId="0" borderId="0" xfId="0" applyFont="1" applyAlignment="1">
      <alignment horizontal="center"/>
    </xf>
    <xf numFmtId="0" fontId="60" fillId="0" borderId="0" xfId="0" applyFont="1" applyAlignment="1">
      <alignment horizontal="left"/>
    </xf>
    <xf numFmtId="0" fontId="14" fillId="0" borderId="0" xfId="0" applyFont="1" applyAlignment="1">
      <alignment horizontal="left" indent="1"/>
    </xf>
    <xf numFmtId="0" fontId="14" fillId="0" borderId="0" xfId="0" applyFont="1" applyAlignment="1">
      <alignment horizontal="left" indent="2"/>
    </xf>
    <xf numFmtId="0" fontId="3" fillId="2" borderId="0" xfId="0" applyFont="1" applyFill="1" applyAlignment="1">
      <alignment horizontal="left" indent="1"/>
    </xf>
    <xf numFmtId="0" fontId="19" fillId="0" borderId="0" xfId="0" applyFont="1" applyAlignment="1">
      <alignment horizontal="left" indent="2"/>
    </xf>
    <xf numFmtId="0" fontId="0" fillId="0" borderId="0" xfId="0" applyAlignment="1">
      <alignment horizontal="left" indent="1"/>
    </xf>
    <xf numFmtId="0" fontId="0" fillId="2" borderId="0" xfId="0" applyFill="1" applyAlignment="1">
      <alignment horizontal="left" indent="1"/>
    </xf>
    <xf numFmtId="0" fontId="39" fillId="3" borderId="0" xfId="0" applyFont="1" applyFill="1" applyAlignment="1">
      <alignment horizontal="center" vertical="center" wrapText="1"/>
    </xf>
    <xf numFmtId="0" fontId="39" fillId="3" borderId="0" xfId="0" applyFont="1" applyFill="1" applyAlignment="1">
      <alignment horizontal="center" vertical="center"/>
    </xf>
    <xf numFmtId="0" fontId="2" fillId="0" borderId="0" xfId="0" applyFont="1" applyAlignment="1">
      <alignment horizontal="left" indent="2"/>
    </xf>
    <xf numFmtId="14" fontId="6" fillId="0" borderId="0" xfId="0" applyNumberFormat="1" applyFont="1" applyAlignment="1">
      <alignment horizontal="left"/>
    </xf>
    <xf numFmtId="0" fontId="6" fillId="0" borderId="0" xfId="0" applyFont="1" applyAlignment="1">
      <alignment horizontal="left"/>
    </xf>
    <xf numFmtId="0" fontId="17" fillId="0" borderId="0" xfId="0" applyFont="1" applyAlignment="1">
      <alignment horizontal="left" indent="2"/>
    </xf>
    <xf numFmtId="0" fontId="14" fillId="0" borderId="0" xfId="0" applyFont="1" applyAlignment="1">
      <alignment horizontal="left" vertical="top" wrapText="1"/>
    </xf>
    <xf numFmtId="0" fontId="14" fillId="0" borderId="0" xfId="0" applyFont="1" applyAlignment="1">
      <alignment horizontal="left" vertical="top"/>
    </xf>
    <xf numFmtId="0" fontId="0" fillId="0" borderId="0" xfId="0" applyAlignment="1">
      <alignment horizontal="left" indent="2"/>
    </xf>
    <xf numFmtId="0" fontId="3" fillId="3" borderId="0" xfId="0" applyFont="1" applyFill="1" applyAlignment="1">
      <alignment horizontal="left"/>
    </xf>
    <xf numFmtId="0" fontId="2" fillId="0" borderId="0" xfId="0" applyFont="1" applyAlignment="1">
      <alignment horizontal="left" vertical="top" wrapText="1"/>
    </xf>
    <xf numFmtId="0" fontId="39" fillId="0" borderId="0" xfId="0" applyFont="1" applyAlignment="1">
      <alignment horizontal="left" indent="2"/>
    </xf>
    <xf numFmtId="0" fontId="3" fillId="0" borderId="13" xfId="0" applyFont="1" applyBorder="1" applyAlignment="1">
      <alignment horizontal="center" vertical="top"/>
    </xf>
    <xf numFmtId="0" fontId="3" fillId="0" borderId="14" xfId="0" applyFont="1" applyBorder="1" applyAlignment="1">
      <alignment horizontal="center" vertical="top"/>
    </xf>
    <xf numFmtId="0" fontId="3" fillId="0" borderId="15" xfId="0" applyFont="1" applyBorder="1" applyAlignment="1">
      <alignment horizontal="center" vertical="top"/>
    </xf>
    <xf numFmtId="0" fontId="45" fillId="0" borderId="40" xfId="0" applyFont="1" applyBorder="1" applyAlignment="1">
      <alignment horizontal="center" vertical="top"/>
    </xf>
    <xf numFmtId="0" fontId="45" fillId="0" borderId="30" xfId="0" applyFont="1" applyBorder="1" applyAlignment="1">
      <alignment horizontal="center" vertical="top"/>
    </xf>
    <xf numFmtId="0" fontId="45" fillId="0" borderId="31" xfId="0" applyFont="1" applyBorder="1" applyAlignment="1">
      <alignment horizontal="center" vertical="top"/>
    </xf>
    <xf numFmtId="0" fontId="56" fillId="0" borderId="1" xfId="0" applyFont="1" applyBorder="1" applyAlignment="1">
      <alignment horizontal="left"/>
    </xf>
    <xf numFmtId="0" fontId="56" fillId="0" borderId="2" xfId="0" applyFont="1" applyBorder="1" applyAlignment="1">
      <alignment horizontal="left"/>
    </xf>
    <xf numFmtId="0" fontId="23" fillId="0" borderId="0" xfId="0" applyFont="1"/>
    <xf numFmtId="0" fontId="3" fillId="0" borderId="14" xfId="0" applyFont="1" applyBorder="1" applyAlignment="1">
      <alignment horizontal="center"/>
    </xf>
    <xf numFmtId="0" fontId="23" fillId="8" borderId="13" xfId="0" applyFont="1" applyFill="1" applyBorder="1"/>
    <xf numFmtId="0" fontId="23" fillId="8" borderId="14" xfId="0" applyFont="1" applyFill="1" applyBorder="1"/>
    <xf numFmtId="0" fontId="23" fillId="8" borderId="28" xfId="0" applyFont="1" applyFill="1" applyBorder="1"/>
    <xf numFmtId="0" fontId="0" fillId="0" borderId="0" xfId="0" applyAlignment="1">
      <alignment horizontal="left"/>
    </xf>
    <xf numFmtId="0" fontId="0" fillId="0" borderId="30" xfId="0" applyBorder="1" applyAlignment="1">
      <alignment horizontal="center" vertical="top"/>
    </xf>
    <xf numFmtId="0" fontId="0" fillId="3" borderId="13" xfId="0" applyFill="1" applyBorder="1" applyAlignment="1">
      <alignment horizontal="center"/>
    </xf>
    <xf numFmtId="0" fontId="0" fillId="3" borderId="14" xfId="0" applyFill="1" applyBorder="1" applyAlignment="1">
      <alignment horizontal="center"/>
    </xf>
    <xf numFmtId="0" fontId="0" fillId="3" borderId="15" xfId="0" applyFill="1" applyBorder="1" applyAlignment="1">
      <alignment horizontal="center"/>
    </xf>
    <xf numFmtId="0" fontId="0" fillId="0" borderId="0" xfId="0" applyAlignment="1">
      <alignment horizontal="center"/>
    </xf>
    <xf numFmtId="0" fontId="14" fillId="0" borderId="11" xfId="0" applyFont="1" applyBorder="1" applyAlignment="1">
      <alignment horizontal="center"/>
    </xf>
    <xf numFmtId="0" fontId="14" fillId="0" borderId="12" xfId="0" applyFont="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0" fontId="0" fillId="2" borderId="15" xfId="0" applyFill="1" applyBorder="1" applyAlignment="1">
      <alignment horizontal="center"/>
    </xf>
    <xf numFmtId="0" fontId="3" fillId="0" borderId="7"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6" xfId="0" applyFont="1" applyBorder="1" applyAlignment="1">
      <alignment horizontal="center"/>
    </xf>
    <xf numFmtId="0" fontId="0" fillId="3" borderId="0" xfId="0" applyFill="1" applyAlignment="1">
      <alignment horizontal="center"/>
    </xf>
    <xf numFmtId="0" fontId="32" fillId="0" borderId="0" xfId="0" applyFont="1"/>
    <xf numFmtId="0" fontId="32" fillId="0" borderId="25" xfId="0" applyFont="1" applyBorder="1"/>
    <xf numFmtId="0" fontId="32" fillId="11" borderId="22" xfId="0" applyFont="1" applyFill="1" applyBorder="1"/>
    <xf numFmtId="0" fontId="32" fillId="11" borderId="23" xfId="0" applyFont="1" applyFill="1" applyBorder="1"/>
    <xf numFmtId="0" fontId="32" fillId="11" borderId="24" xfId="0" applyFont="1" applyFill="1" applyBorder="1"/>
    <xf numFmtId="0" fontId="32" fillId="0" borderId="19" xfId="0" applyFont="1" applyBorder="1"/>
    <xf numFmtId="0" fontId="32" fillId="0" borderId="27" xfId="0" applyFont="1" applyBorder="1"/>
    <xf numFmtId="0" fontId="3" fillId="2" borderId="34" xfId="0" applyFont="1" applyFill="1" applyBorder="1" applyAlignment="1">
      <alignment horizontal="right"/>
    </xf>
    <xf numFmtId="0" fontId="3" fillId="2" borderId="35" xfId="0" quotePrefix="1" applyFont="1" applyFill="1" applyBorder="1" applyAlignment="1">
      <alignment horizontal="right"/>
    </xf>
    <xf numFmtId="0" fontId="3" fillId="2" borderId="35" xfId="0" applyFont="1" applyFill="1" applyBorder="1" applyAlignment="1">
      <alignment horizontal="right"/>
    </xf>
    <xf numFmtId="0" fontId="24" fillId="5" borderId="7" xfId="0" applyFont="1" applyFill="1" applyBorder="1"/>
    <xf numFmtId="0" fontId="24" fillId="5" borderId="21" xfId="0" applyFont="1" applyFill="1" applyBorder="1"/>
    <xf numFmtId="0" fontId="25" fillId="0" borderId="0" xfId="0" applyFont="1"/>
    <xf numFmtId="0" fontId="20" fillId="13" borderId="0" xfId="0" applyFont="1" applyFill="1"/>
    <xf numFmtId="0" fontId="29" fillId="0" borderId="0" xfId="0" applyFont="1"/>
    <xf numFmtId="0" fontId="27" fillId="0" borderId="0" xfId="0" applyFont="1"/>
    <xf numFmtId="0" fontId="3" fillId="0" borderId="0" xfId="0" applyFont="1" applyAlignment="1">
      <alignment horizontal="center"/>
    </xf>
    <xf numFmtId="14" fontId="60" fillId="0" borderId="0" xfId="0" quotePrefix="1" applyNumberFormat="1" applyFont="1" applyFill="1" applyAlignment="1">
      <alignment horizontal="left"/>
    </xf>
    <xf numFmtId="14" fontId="60" fillId="0" borderId="0" xfId="0" applyNumberFormat="1" applyFont="1" applyFill="1" applyAlignment="1">
      <alignment horizontal="left"/>
    </xf>
  </cellXfs>
  <cellStyles count="13">
    <cellStyle name="Comma" xfId="1" builtinId="3"/>
    <cellStyle name="Comma 2" xfId="5" xr:uid="{28949941-DBBF-4FCC-9502-B0CEC18285ED}"/>
    <cellStyle name="Comma 3" xfId="11" xr:uid="{124B14C0-9F43-4048-8353-D0989DD2B682}"/>
    <cellStyle name="Currency" xfId="2" builtinId="4"/>
    <cellStyle name="Currency 2" xfId="9" xr:uid="{13CAD2DD-3BE2-40C6-AA08-A49BCFD00609}"/>
    <cellStyle name="Currency 3" xfId="12" xr:uid="{EA675077-A3DF-4CF4-BF77-219BB523DF05}"/>
    <cellStyle name="Hyperlink" xfId="10" builtinId="8"/>
    <cellStyle name="Normal" xfId="0" builtinId="0"/>
    <cellStyle name="Normal 2" xfId="7" xr:uid="{72B4557F-98EA-4304-80D7-CE5304CA4033}"/>
    <cellStyle name="Normal 3" xfId="4" xr:uid="{B089538B-25BA-4091-94AD-E4E263A6A3E6}"/>
    <cellStyle name="Normal 3 2" xfId="6" xr:uid="{FB8DCBFD-1784-4C3B-BFF7-BAD2F3D44549}"/>
    <cellStyle name="Normal 4" xfId="8" xr:uid="{D71FB01A-375B-4DC3-8A2A-ECD0344035F2}"/>
    <cellStyle name="Percent" xfId="3" builtinId="5"/>
  </cellStyles>
  <dxfs count="0"/>
  <tableStyles count="0" defaultTableStyle="TableStyleMedium2" defaultPivotStyle="PivotStyleLight16"/>
  <colors>
    <mruColors>
      <color rgb="FFFF00FF"/>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5" Type="http://schemas.openxmlformats.org/officeDocument/2006/relationships/image" Target="../media/image12.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4.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png"/><Relationship Id="rId11" Type="http://schemas.openxmlformats.org/officeDocument/2006/relationships/image" Target="../media/image23.png"/><Relationship Id="rId5" Type="http://schemas.openxmlformats.org/officeDocument/2006/relationships/image" Target="../media/image17.jpeg"/><Relationship Id="rId10" Type="http://schemas.openxmlformats.org/officeDocument/2006/relationships/image" Target="../media/image22.png"/><Relationship Id="rId4" Type="http://schemas.openxmlformats.org/officeDocument/2006/relationships/image" Target="../media/image16.png"/><Relationship Id="rId9" Type="http://schemas.openxmlformats.org/officeDocument/2006/relationships/image" Target="../media/image21.png"/><Relationship Id="rId14" Type="http://schemas.openxmlformats.org/officeDocument/2006/relationships/image" Target="../media/image26.png"/></Relationships>
</file>

<file path=xl/drawings/_rels/drawing5.xml.rels><?xml version="1.0" encoding="UTF-8" standalone="yes"?>
<Relationships xmlns="http://schemas.openxmlformats.org/package/2006/relationships"><Relationship Id="rId3" Type="http://schemas.openxmlformats.org/officeDocument/2006/relationships/image" Target="../media/image29.png"/><Relationship Id="rId2" Type="http://schemas.openxmlformats.org/officeDocument/2006/relationships/image" Target="../media/image28.png"/><Relationship Id="rId1" Type="http://schemas.openxmlformats.org/officeDocument/2006/relationships/image" Target="../media/image27.png"/></Relationships>
</file>

<file path=xl/drawings/_rels/drawing6.xml.rels><?xml version="1.0" encoding="UTF-8" standalone="yes"?>
<Relationships xmlns="http://schemas.openxmlformats.org/package/2006/relationships"><Relationship Id="rId8" Type="http://schemas.openxmlformats.org/officeDocument/2006/relationships/image" Target="../media/image37.png"/><Relationship Id="rId3" Type="http://schemas.openxmlformats.org/officeDocument/2006/relationships/image" Target="../media/image32.png"/><Relationship Id="rId7" Type="http://schemas.openxmlformats.org/officeDocument/2006/relationships/image" Target="../media/image36.png"/><Relationship Id="rId2" Type="http://schemas.openxmlformats.org/officeDocument/2006/relationships/image" Target="../media/image31.png"/><Relationship Id="rId1" Type="http://schemas.openxmlformats.org/officeDocument/2006/relationships/image" Target="../media/image30.png"/><Relationship Id="rId6" Type="http://schemas.openxmlformats.org/officeDocument/2006/relationships/image" Target="../media/image35.png"/><Relationship Id="rId5" Type="http://schemas.openxmlformats.org/officeDocument/2006/relationships/image" Target="../media/image34.png"/><Relationship Id="rId10" Type="http://schemas.openxmlformats.org/officeDocument/2006/relationships/image" Target="../media/image39.png"/><Relationship Id="rId4" Type="http://schemas.openxmlformats.org/officeDocument/2006/relationships/image" Target="../media/image33.png"/><Relationship Id="rId9" Type="http://schemas.openxmlformats.org/officeDocument/2006/relationships/image" Target="../media/image38.png"/></Relationships>
</file>

<file path=xl/drawings/_rels/drawing7.xml.rels><?xml version="1.0" encoding="UTF-8" standalone="yes"?>
<Relationships xmlns="http://schemas.openxmlformats.org/package/2006/relationships"><Relationship Id="rId1" Type="http://schemas.openxmlformats.org/officeDocument/2006/relationships/image" Target="../media/image38.png"/></Relationships>
</file>

<file path=xl/drawings/_rels/drawing8.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xdr:from>
      <xdr:col>0</xdr:col>
      <xdr:colOff>141107</xdr:colOff>
      <xdr:row>392</xdr:row>
      <xdr:rowOff>16599</xdr:rowOff>
    </xdr:from>
    <xdr:to>
      <xdr:col>7</xdr:col>
      <xdr:colOff>2745441</xdr:colOff>
      <xdr:row>401</xdr:row>
      <xdr:rowOff>78440</xdr:rowOff>
    </xdr:to>
    <xdr:sp macro="" textlink="">
      <xdr:nvSpPr>
        <xdr:cNvPr id="10" name="TextBox 9">
          <a:extLst>
            <a:ext uri="{FF2B5EF4-FFF2-40B4-BE49-F238E27FC236}">
              <a16:creationId xmlns:a16="http://schemas.microsoft.com/office/drawing/2014/main" id="{2FE29528-6E04-9D9B-E025-0EBA7285E2CA}"/>
            </a:ext>
          </a:extLst>
        </xdr:cNvPr>
        <xdr:cNvSpPr txBox="1"/>
      </xdr:nvSpPr>
      <xdr:spPr>
        <a:xfrm>
          <a:off x="141107" y="71286011"/>
          <a:ext cx="9473540" cy="177634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3.1 POST-CLOSURE FINAL GRADING AND TOPOGRAPHY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"Post-closure final grading and topography would be of comparable utility and stability as that of adjacent areas, with the exception of open pits and rock faces (MCA 82-4-336(9)(a))."</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"Contour trenches, benches, and/or grass or rock-lined channelways would be installed as specific situations warrant and are discussed for each disturbance type."</a:t>
          </a:r>
        </a:p>
        <a:p>
          <a:r>
            <a:rPr lang="en-US" sz="1100" b="0" i="0" u="none" strike="noStrike" baseline="0">
              <a:solidFill>
                <a:schemeClr val="dk1"/>
              </a:solidFill>
              <a:latin typeface="+mn-lt"/>
              <a:ea typeface="+mn-ea"/>
              <a:cs typeface="+mn-cs"/>
            </a:rPr>
            <a:t>"All final grading will be made with non-noxious, noncombustible solids unless approval has been granted by DEQ for a supervised sanitary landfill (MCA 82-4-336(6)). </a:t>
          </a:r>
        </a:p>
        <a:p>
          <a:r>
            <a:rPr lang="en-US" sz="1100" b="0" i="0" u="none" strike="noStrike" baseline="0">
              <a:solidFill>
                <a:schemeClr val="dk1"/>
              </a:solidFill>
              <a:latin typeface="+mn-lt"/>
              <a:ea typeface="+mn-ea"/>
              <a:cs typeface="+mn-cs"/>
            </a:rPr>
            <a:t>"Upon partial or complete saturation with water, graded fill, tailings, or spoil piles will be stable. Stability of the tailings and tailings embankment is addressed in MR’s Design Document for the YDTI, reviewed by the Independent Review Panel (IRP 2017) and previously submitted to DEQ. The IRP accepted the adequacy of the proposed design."</a:t>
          </a:r>
          <a:endParaRPr lang="en-US" sz="1100"/>
        </a:p>
      </xdr:txBody>
    </xdr:sp>
    <xdr:clientData/>
  </xdr:twoCellAnchor>
  <xdr:twoCellAnchor>
    <xdr:from>
      <xdr:col>0</xdr:col>
      <xdr:colOff>140153</xdr:colOff>
      <xdr:row>401</xdr:row>
      <xdr:rowOff>163965</xdr:rowOff>
    </xdr:from>
    <xdr:to>
      <xdr:col>7</xdr:col>
      <xdr:colOff>2757488</xdr:colOff>
      <xdr:row>417</xdr:row>
      <xdr:rowOff>171450</xdr:rowOff>
    </xdr:to>
    <xdr:sp macro="" textlink="">
      <xdr:nvSpPr>
        <xdr:cNvPr id="11" name="TextBox 10">
          <a:extLst>
            <a:ext uri="{FF2B5EF4-FFF2-40B4-BE49-F238E27FC236}">
              <a16:creationId xmlns:a16="http://schemas.microsoft.com/office/drawing/2014/main" id="{E33E8992-BEA1-6190-1634-EF9A17BAE64A}"/>
            </a:ext>
          </a:extLst>
        </xdr:cNvPr>
        <xdr:cNvSpPr txBox="1"/>
      </xdr:nvSpPr>
      <xdr:spPr>
        <a:xfrm>
          <a:off x="140153" y="36225615"/>
          <a:ext cx="9399135" cy="305548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3.2 POST-CLOSURE DRAINAGE AND CONTROLS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"Post-closure water from all nonexempt disturbed areas shall be diverted or treated in a manner designed to control siltation, erosion or other water pollution damage to streams and natural water courses (ARM 17.24.115(f).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"Based on the post-closure reclamation details, including post-closure grading, coversoil placement and revegetation of all nonexempt disturbed areas, post-closure runoff water is expected to be of good quality. Therefore, post-closure runoff water would be handled as stormwater with the post-closure drainage system designed to convey stormwater runoff around any remaining disturbed areas. Stormwater runoff would be segregated from post-closure process waters so that stormwater runoff may be discharged directly off site, thus reducing post-closure water treatment requirements. The post-closure stormwater drainage system outlined below is intended to meet this goal while providing flexibility in runoff water handling and discharge depending on final runoff water quality."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a:t>
          </a:r>
          <a:r>
            <a:rPr lang="en-US" sz="1100" b="1" i="0" u="none" strike="noStrike" baseline="0">
              <a:solidFill>
                <a:schemeClr val="dk1"/>
              </a:solidFill>
              <a:latin typeface="+mn-lt"/>
              <a:ea typeface="+mn-ea"/>
              <a:cs typeface="+mn-cs"/>
            </a:rPr>
            <a:t>As part of final reclamation, runoff swales and/or ditches will be constructed along reclaimed slopes as needed for runoff and erosion control </a:t>
          </a:r>
          <a:r>
            <a:rPr lang="en-US" sz="1100" b="0" i="0" u="none" strike="noStrike" baseline="0">
              <a:solidFill>
                <a:schemeClr val="dk1"/>
              </a:solidFill>
              <a:latin typeface="+mn-lt"/>
              <a:ea typeface="+mn-ea"/>
              <a:cs typeface="+mn-cs"/>
            </a:rPr>
            <a:t>(ARM 17.24.115(d)). </a:t>
          </a:r>
          <a:r>
            <a:rPr lang="en-US" sz="1100" b="1" i="0" u="none" strike="noStrike" baseline="0">
              <a:solidFill>
                <a:schemeClr val="dk1"/>
              </a:solidFill>
              <a:latin typeface="+mn-lt"/>
              <a:ea typeface="+mn-ea"/>
              <a:cs typeface="+mn-cs"/>
            </a:rPr>
            <a:t>Initial design concepts include grass-lined swales in the upper reaches of drainages, transitioning to riprap-lined ditches in the lower reaches where flow velocities warrant (Figure RP-7-1). All drainage structures, including drainage ditches A, B and C, and the upgraded Clearwater Ditch would be designed to safely convey runoff generated from the 100 year-24 hour storm event, including riprapping where flow velocities warrant. </a:t>
          </a:r>
          <a:r>
            <a:rPr lang="en-US" sz="1100" b="0" i="0" u="none" strike="noStrike" baseline="0">
              <a:solidFill>
                <a:schemeClr val="dk1"/>
              </a:solidFill>
              <a:latin typeface="+mn-lt"/>
              <a:ea typeface="+mn-ea"/>
              <a:cs typeface="+mn-cs"/>
            </a:rPr>
            <a:t>Stormwater settling basins would be placed along major drainageways to slow flow velocities and allow for settling of entrained sediment. All stormwater drainage structures and provisions would be detailed in a post-closure erosion control plan. As currently planned, all stormwater runoff would report to the south mine boundary and Clearwater Ditch for direct discharge to Silver Bow Creek, if water quality allows. The conceptual drainage system is shown on Exhibit RP-2." </a:t>
          </a:r>
          <a:br>
            <a:rPr lang="en-US" sz="1100" b="0" i="0" u="none" strike="noStrike" baseline="0">
              <a:solidFill>
                <a:schemeClr val="dk1"/>
              </a:solidFill>
              <a:latin typeface="+mn-lt"/>
              <a:ea typeface="+mn-ea"/>
              <a:cs typeface="+mn-cs"/>
            </a:rPr>
          </a:br>
          <a:endParaRPr lang="en-US" sz="1100"/>
        </a:p>
      </xdr:txBody>
    </xdr:sp>
    <xdr:clientData/>
  </xdr:twoCellAnchor>
  <xdr:twoCellAnchor>
    <xdr:from>
      <xdr:col>0</xdr:col>
      <xdr:colOff>144237</xdr:colOff>
      <xdr:row>290</xdr:row>
      <xdr:rowOff>172</xdr:rowOff>
    </xdr:from>
    <xdr:to>
      <xdr:col>7</xdr:col>
      <xdr:colOff>3013364</xdr:colOff>
      <xdr:row>325</xdr:row>
      <xdr:rowOff>51954</xdr:rowOff>
    </xdr:to>
    <xdr:sp macro="" textlink="">
      <xdr:nvSpPr>
        <xdr:cNvPr id="13" name="TextBox 12">
          <a:extLst>
            <a:ext uri="{FF2B5EF4-FFF2-40B4-BE49-F238E27FC236}">
              <a16:creationId xmlns:a16="http://schemas.microsoft.com/office/drawing/2014/main" id="{DC0D9657-58CF-4C6C-AB1C-9DADF89D8F07}"/>
            </a:ext>
          </a:extLst>
        </xdr:cNvPr>
        <xdr:cNvSpPr txBox="1"/>
      </xdr:nvSpPr>
      <xdr:spPr>
        <a:xfrm>
          <a:off x="144237" y="51556399"/>
          <a:ext cx="9744445" cy="611314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2023 Reclamation Plan Citations:</a:t>
          </a:r>
          <a:endParaRPr lang="en-US">
            <a:effectLst/>
          </a:endParaRPr>
        </a:p>
        <a:p>
          <a:r>
            <a:rPr lang="en-US" sz="1100" b="1" i="0" baseline="0">
              <a:solidFill>
                <a:schemeClr val="dk1"/>
              </a:solidFill>
              <a:effectLst/>
              <a:latin typeface="+mn-lt"/>
              <a:ea typeface="+mn-ea"/>
              <a:cs typeface="+mn-cs"/>
            </a:rPr>
            <a:t>2.3 PERMITTED LAND USE </a:t>
          </a:r>
          <a:endParaRPr lang="en-US">
            <a:effectLst/>
          </a:endParaRPr>
        </a:p>
        <a:p>
          <a:r>
            <a:rPr lang="en-US" sz="1100" b="0" i="0" baseline="0">
              <a:solidFill>
                <a:schemeClr val="dk1"/>
              </a:solidFill>
              <a:effectLst/>
              <a:latin typeface="+mn-lt"/>
              <a:ea typeface="+mn-ea"/>
              <a:cs typeface="+mn-cs"/>
            </a:rPr>
            <a:t>"Permitted land uses were originally mining and industrial, reflecting that the majority of these areas were disturbed prior to permit issuance. Post-closure land uses of less disturbed areas were watershed protection and small mammal and bird habitat. The 1998 Reclamation Plan (MR 1998) proposed watershed protection, wildlife habitat, visual resource mitigation, historic preservation, and industrial land uses. The 6450 Amendment identified watershed protection and wildlife habitat for the YDTI and other areas covered by the Amendment."</a:t>
          </a:r>
          <a:endParaRPr lang="en-US">
            <a:effectLst/>
          </a:endParaRPr>
        </a:p>
        <a:p>
          <a:br>
            <a:rPr lang="en-US" sz="1100" b="1"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1.4 OTHER AGENCIES INVOLVED IN RECLAMATION AT THE CONTINENTAL MINE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Mining Bureau of the Air, Energy and Mining Division of the DEQ has primacy in regulating reclamation at the Continental Mine pursuant to the Montana Metal Mine Reclamation Act (MMRA) and implementing regulations. Other agencies, discussed below, also have regulatory or advisory roles involving reclamation.</a:t>
          </a:r>
        </a:p>
        <a:p>
          <a:r>
            <a:rPr lang="en-US" sz="1100" b="1" i="0" u="none" strike="noStrike" baseline="0">
              <a:solidFill>
                <a:schemeClr val="dk1"/>
              </a:solidFill>
              <a:latin typeface="+mn-lt"/>
              <a:ea typeface="+mn-ea"/>
              <a:cs typeface="+mn-cs"/>
            </a:rPr>
            <a:t>1.4.1 DEQ Water Quality Division, Water Protection Bureau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DEQ’s Water Protection Bureau regulates discharge from point and non-point sources pursuant to the Montana Water Quality Act (Title 75, Chapter 5, MCA). MR anticipates developing, implementing, and maintaining a Stormwater Pollution Prevention Plan (SWPPP) in early 2023 for stormwater coverage under the Multi-Sector General Permit (MSGP) for stormwater discharges associated with industrial activity such as mining. </a:t>
          </a:r>
        </a:p>
        <a:p>
          <a:r>
            <a:rPr lang="en-US" sz="1100" b="1" i="0" u="none" strike="noStrike" baseline="0">
              <a:solidFill>
                <a:schemeClr val="dk1"/>
              </a:solidFill>
              <a:latin typeface="+mn-lt"/>
              <a:ea typeface="+mn-ea"/>
              <a:cs typeface="+mn-cs"/>
            </a:rPr>
            <a:t>1.4.2 DEQ Air, Energy and Mining Division, Air Quality Bureau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DEQ’s Air Quality Bureau regulates air quality pursuant to Montana’s Clean Air Act (75-2-101 </a:t>
          </a:r>
          <a:r>
            <a:rPr lang="en-US" sz="1100" b="0" i="1" u="none" strike="noStrike" baseline="0">
              <a:solidFill>
                <a:schemeClr val="dk1"/>
              </a:solidFill>
              <a:latin typeface="+mn-lt"/>
              <a:ea typeface="+mn-ea"/>
              <a:cs typeface="+mn-cs"/>
            </a:rPr>
            <a:t>et seq</a:t>
          </a:r>
          <a:r>
            <a:rPr lang="en-US" sz="1100" b="0" i="0" u="none" strike="noStrike" baseline="0">
              <a:solidFill>
                <a:schemeClr val="dk1"/>
              </a:solidFill>
              <a:latin typeface="+mn-lt"/>
              <a:ea typeface="+mn-ea"/>
              <a:cs typeface="+mn-cs"/>
            </a:rPr>
            <a:t>., MCA) and companion regulations. MR operates pursuant to Air Quality Permit #1749-14, including following procedures set forth in its “Dust Control Plan for Yankee Doodle Tailings Impoundment” (MR 2022). Dust control during operations is addressed in Section 12.0 and Appendix OP-B of MR’s Operations Plan. Post-closure dust control on the YDTI is addressed in Section 10.6 of this reclamation plan. </a:t>
          </a:r>
        </a:p>
        <a:p>
          <a:r>
            <a:rPr lang="en-US" sz="1100" b="1" i="0" u="none" strike="noStrike" baseline="0">
              <a:solidFill>
                <a:schemeClr val="dk1"/>
              </a:solidFill>
              <a:latin typeface="+mn-lt"/>
              <a:ea typeface="+mn-ea"/>
              <a:cs typeface="+mn-cs"/>
            </a:rPr>
            <a:t>1.4.3 U.S. Army Corps of Engineers (USACE)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USACE issued a jurisdictional determination on August 27, 2018 (Corps No. NWO-2011-02509-MTM) finding potential waters of the U.S. at the mine to be isolated, non-jurisdictional waters that do not require authorizations from USACE for discharges of dredge or fill material. </a:t>
          </a:r>
        </a:p>
        <a:p>
          <a:r>
            <a:rPr lang="en-US" sz="1100" b="1" i="0" u="none" strike="noStrike" baseline="0">
              <a:solidFill>
                <a:schemeClr val="dk1"/>
              </a:solidFill>
              <a:latin typeface="+mn-lt"/>
              <a:ea typeface="+mn-ea"/>
              <a:cs typeface="+mn-cs"/>
            </a:rPr>
            <a:t>1.4.4 U.S. Environmental Protection Agency (EPA)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In 1983, the EPA listed Silver Bow Creek as a Superfund Site on the National Priorities List (NPL) pursuant to the Comprehensive Environmental Response, Compensation and Liability Act (CERCLA). In 1987, historic and active mine areas in the vicinity of Butte were added to the Superfund Site and the name changed to Silver Bow Creek/Butte Area. The Silver Bow Creek/Butte Area Superfund Site is separated into several operable units one of which is the BMFOU that includes MR’s overall mine permit area. As a result of the Superfund designation, mine site water is addressed under the jurisdiction of the EPA pursuant to the Consent Decree and related documents.</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In 2001, the EPA and DEQ Remediation Division issued a “Decision Document Regarding Deferral by EPA to State Authority for the Butte Active Mining Area Operable Unit, Silver Bow Creek/Butte Area (Butte Portion) NPL Site” (EPA 2001). As a result of the Decision Document, EPA deferred use of CERCLA authority of the Butte Active Mine Area Operable Unit (BAMAOU) conditional upon MR meeting state regulatory requirements and posting of an adequate reclamation bond. Even if these conditions were met, EPA reserved the right to exercise CERCLA authority should the reclamation plan contained in the permits not be implemented by MR and/or enforced by the State, or bonding be inadequate to cover the cost of reclamation required by the permits."</a:t>
          </a:r>
          <a:endParaRPr lang="en-US" sz="1100"/>
        </a:p>
      </xdr:txBody>
    </xdr:sp>
    <xdr:clientData/>
  </xdr:twoCellAnchor>
  <xdr:twoCellAnchor>
    <xdr:from>
      <xdr:col>0</xdr:col>
      <xdr:colOff>169224</xdr:colOff>
      <xdr:row>356</xdr:row>
      <xdr:rowOff>115785</xdr:rowOff>
    </xdr:from>
    <xdr:to>
      <xdr:col>7</xdr:col>
      <xdr:colOff>3048000</xdr:colOff>
      <xdr:row>388</xdr:row>
      <xdr:rowOff>138545</xdr:rowOff>
    </xdr:to>
    <xdr:sp macro="" textlink="">
      <xdr:nvSpPr>
        <xdr:cNvPr id="15" name="TextBox 14">
          <a:extLst>
            <a:ext uri="{FF2B5EF4-FFF2-40B4-BE49-F238E27FC236}">
              <a16:creationId xmlns:a16="http://schemas.microsoft.com/office/drawing/2014/main" id="{C8935669-1A35-48A2-9896-427A0ED9CE76}"/>
            </a:ext>
          </a:extLst>
        </xdr:cNvPr>
        <xdr:cNvSpPr txBox="1"/>
      </xdr:nvSpPr>
      <xdr:spPr>
        <a:xfrm>
          <a:off x="169224" y="25940658"/>
          <a:ext cx="9695212" cy="57862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2023 Reclamation Plan</a:t>
          </a:r>
        </a:p>
        <a:p>
          <a:r>
            <a:rPr lang="en-US" sz="1100" b="0" i="0" u="none" strike="noStrike" baseline="0">
              <a:solidFill>
                <a:schemeClr val="dk1"/>
              </a:solidFill>
              <a:latin typeface="+mn-lt"/>
              <a:ea typeface="+mn-ea"/>
              <a:cs typeface="+mn-cs"/>
            </a:rPr>
            <a:t>(Section 8.5.1)</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Non-exempt facilities not part of the BMFOU remedy would be reclaimed in accordance with the MMRA. These include, but are not limited to: </a:t>
          </a:r>
        </a:p>
        <a:p>
          <a:r>
            <a:rPr lang="en-US" sz="1100" b="0" i="0" u="none" strike="noStrike" baseline="0">
              <a:solidFill>
                <a:schemeClr val="dk1"/>
              </a:solidFill>
              <a:latin typeface="+mn-lt"/>
              <a:ea typeface="+mn-ea"/>
              <a:cs typeface="+mn-cs"/>
            </a:rPr>
            <a:t>• Explosive Storage Areas; </a:t>
          </a:r>
        </a:p>
        <a:p>
          <a:r>
            <a:rPr lang="en-US" sz="1100" b="0" i="0" u="none" strike="noStrike" baseline="0">
              <a:solidFill>
                <a:schemeClr val="dk1"/>
              </a:solidFill>
              <a:latin typeface="+mn-lt"/>
              <a:ea typeface="+mn-ea"/>
              <a:cs typeface="+mn-cs"/>
            </a:rPr>
            <a:t>• Powder Magazines; </a:t>
          </a:r>
        </a:p>
        <a:p>
          <a:r>
            <a:rPr lang="en-US" sz="1100" b="0" i="0" u="none" strike="noStrike" baseline="0">
              <a:solidFill>
                <a:schemeClr val="dk1"/>
              </a:solidFill>
              <a:latin typeface="+mn-lt"/>
              <a:ea typeface="+mn-ea"/>
              <a:cs typeface="+mn-cs"/>
            </a:rPr>
            <a:t>• Fuel Bays; </a:t>
          </a:r>
        </a:p>
        <a:p>
          <a:r>
            <a:rPr lang="en-US" sz="1100" b="0" i="0" u="none" strike="noStrike" baseline="0">
              <a:solidFill>
                <a:schemeClr val="dk1"/>
              </a:solidFill>
              <a:latin typeface="+mn-lt"/>
              <a:ea typeface="+mn-ea"/>
              <a:cs typeface="+mn-cs"/>
            </a:rPr>
            <a:t>• Relocated Precipitation Plant </a:t>
          </a:r>
        </a:p>
        <a:p>
          <a:r>
            <a:rPr lang="en-US" sz="1100" b="0" i="0" u="none" strike="noStrike" baseline="0">
              <a:solidFill>
                <a:schemeClr val="dk1"/>
              </a:solidFill>
              <a:latin typeface="+mn-lt"/>
              <a:ea typeface="+mn-ea"/>
              <a:cs typeface="+mn-cs"/>
            </a:rPr>
            <a:t>• Pump stations and pipelines; </a:t>
          </a:r>
        </a:p>
        <a:p>
          <a:r>
            <a:rPr lang="en-US" sz="1100" b="0" i="0" u="none" strike="noStrike" baseline="0">
              <a:solidFill>
                <a:schemeClr val="dk1"/>
              </a:solidFill>
              <a:latin typeface="+mn-lt"/>
              <a:ea typeface="+mn-ea"/>
              <a:cs typeface="+mn-cs"/>
            </a:rPr>
            <a:t>• Water Management Structures (ditches and ponds); </a:t>
          </a:r>
        </a:p>
        <a:p>
          <a:r>
            <a:rPr lang="en-US" sz="1100" b="0" i="0" u="none" strike="noStrike" baseline="0">
              <a:solidFill>
                <a:schemeClr val="dk1"/>
              </a:solidFill>
              <a:latin typeface="+mn-lt"/>
              <a:ea typeface="+mn-ea"/>
              <a:cs typeface="+mn-cs"/>
            </a:rPr>
            <a:t>• Tailings Pump Houses and Booster Stations; </a:t>
          </a:r>
        </a:p>
        <a:p>
          <a:r>
            <a:rPr lang="en-US" sz="1100" b="0" i="0" u="none" strike="noStrike" baseline="0">
              <a:solidFill>
                <a:schemeClr val="dk1"/>
              </a:solidFill>
              <a:latin typeface="+mn-lt"/>
              <a:ea typeface="+mn-ea"/>
              <a:cs typeface="+mn-cs"/>
            </a:rPr>
            <a:t>• Tailings Pumpback Barges (2); </a:t>
          </a:r>
        </a:p>
        <a:p>
          <a:r>
            <a:rPr lang="en-US" sz="1100" b="0" i="0" u="none" strike="noStrike" baseline="0">
              <a:solidFill>
                <a:schemeClr val="dk1"/>
              </a:solidFill>
              <a:latin typeface="+mn-lt"/>
              <a:ea typeface="+mn-ea"/>
              <a:cs typeface="+mn-cs"/>
            </a:rPr>
            <a:t>• Tailings Lines; </a:t>
          </a:r>
        </a:p>
        <a:p>
          <a:r>
            <a:rPr lang="en-US" sz="1100" b="0" i="0" u="none" strike="noStrike" baseline="0">
              <a:solidFill>
                <a:schemeClr val="dk1"/>
              </a:solidFill>
              <a:latin typeface="+mn-lt"/>
              <a:ea typeface="+mn-ea"/>
              <a:cs typeface="+mn-cs"/>
            </a:rPr>
            <a:t>• Return Water Lines; </a:t>
          </a:r>
        </a:p>
        <a:p>
          <a:r>
            <a:rPr lang="en-US" sz="1100" b="0" i="0" u="none" strike="noStrike" baseline="0">
              <a:solidFill>
                <a:schemeClr val="dk1"/>
              </a:solidFill>
              <a:latin typeface="+mn-lt"/>
              <a:ea typeface="+mn-ea"/>
              <a:cs typeface="+mn-cs"/>
            </a:rPr>
            <a:t>• Power Lines and Substations; and </a:t>
          </a:r>
        </a:p>
        <a:p>
          <a:r>
            <a:rPr lang="en-US" sz="1100" b="0" i="0" u="none" strike="noStrike" baseline="0">
              <a:solidFill>
                <a:schemeClr val="dk1"/>
              </a:solidFill>
              <a:latin typeface="+mn-lt"/>
              <a:ea typeface="+mn-ea"/>
              <a:cs typeface="+mn-cs"/>
            </a:rPr>
            <a:t>• Central Water Tower.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"All regulated support facilities that have economic value would be dismantled and sold at the end of operations. Non-economically recoverable facilities would be dismantled and inert components (concrete, steel, wood, etc.) would be buried in an on-site disposal pit. The disposal pit would be covered, capped as necessary and revegetated. Any designated waste management site in the mine permit area would operate in accordance with the substantive elements of relevant sections of ARM 17.50.509 Operation and Maintenance Plan Requirements for a solid waste management system as detailed in Section 11.0 of MR’s Operations Plan."</a:t>
          </a:r>
        </a:p>
        <a:p>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"Fuel, oils, chemicals and other similar material would be recycled or deposited in an approved disposal facility." </a:t>
          </a:r>
        </a:p>
        <a:p>
          <a:pPr marL="0" marR="0" lvl="0" indent="0" defTabSz="914400" eaLnBrk="1" fontAlgn="auto" latinLnBrk="0" hangingPunct="1">
            <a:lnSpc>
              <a:spcPct val="100000"/>
            </a:lnSpc>
            <a:spcBef>
              <a:spcPts val="0"/>
            </a:spcBef>
            <a:spcAft>
              <a:spcPts val="0"/>
            </a:spcAft>
            <a:buClrTx/>
            <a:buSzTx/>
            <a:buFontTx/>
            <a:buNone/>
            <a:tabLst/>
            <a:defRPr/>
          </a:pP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"Except for facilities also used for BMFOU, jurisdictional surface facilities and structures would be removed during final reclamation, unless DEQ approves a waiver allowing certain structures to remain if they provide a beneficial post-closure use. Service corridors (e.g., power, above ground water lines) that are necessary for BMFOU activities will remain in place. Service corridors that provide future benefits may remain in place if approved by DEQ. Otherwise, service corridors would be removed at mine closure, and disturbed areas would be reclaimed."</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a:t>
          </a:r>
          <a:r>
            <a:rPr lang="en-US" sz="1100" b="0" i="0" baseline="0">
              <a:solidFill>
                <a:schemeClr val="dk1"/>
              </a:solidFill>
              <a:effectLst/>
              <a:latin typeface="+mn-lt"/>
              <a:ea typeface="+mn-ea"/>
              <a:cs typeface="+mn-cs"/>
            </a:rPr>
            <a:t>Facility sites would be graded to blend with adjacent areas, ripped to relieve compaction, covered with 28 inches of alluvium [if slope is &lt;5%, 20 inches of alluvium if slope is &gt; 5%], amended as necessary based on testing, and seeded as described in Section 6.0. "</a:t>
          </a:r>
          <a:endParaRPr lang="en-US" sz="1100" b="0" i="0" u="none" strike="noStrike" baseline="0">
            <a:solidFill>
              <a:schemeClr val="dk1"/>
            </a:solidFill>
            <a:latin typeface="+mn-lt"/>
            <a:ea typeface="+mn-ea"/>
            <a:cs typeface="+mn-cs"/>
          </a:endParaRPr>
        </a:p>
        <a:p>
          <a:br>
            <a:rPr lang="en-US" sz="1100" b="0" i="0" u="none" strike="noStrike" baseline="0">
              <a:solidFill>
                <a:sysClr val="windowText" lastClr="000000"/>
              </a:solidFill>
              <a:latin typeface="+mn-lt"/>
              <a:ea typeface="+mn-ea"/>
              <a:cs typeface="+mn-cs"/>
            </a:rPr>
          </a:br>
          <a:r>
            <a:rPr lang="en-US" sz="1100" b="1" i="0" baseline="0">
              <a:solidFill>
                <a:sysClr val="windowText" lastClr="000000"/>
              </a:solidFill>
              <a:effectLst/>
              <a:latin typeface="+mn-lt"/>
              <a:ea typeface="+mn-ea"/>
              <a:cs typeface="+mn-cs"/>
            </a:rPr>
            <a:t>DEQ assumes that no scrap or resale value can be discounted in the bond, so demolished facilities and associated inert components would be buried in an on-site disposal pit (exact location not identified) OR hauled to an offsite disposal facility.</a:t>
          </a:r>
          <a:endParaRPr lang="en-US" sz="1100" b="1" i="0" u="none" strike="noStrike" baseline="0">
            <a:solidFill>
              <a:sysClr val="windowText" lastClr="000000"/>
            </a:solidFill>
            <a:latin typeface="+mn-lt"/>
            <a:ea typeface="+mn-ea"/>
            <a:cs typeface="+mn-cs"/>
          </a:endParaRPr>
        </a:p>
      </xdr:txBody>
    </xdr:sp>
    <xdr:clientData/>
  </xdr:twoCellAnchor>
  <xdr:twoCellAnchor>
    <xdr:from>
      <xdr:col>0</xdr:col>
      <xdr:colOff>142490</xdr:colOff>
      <xdr:row>328</xdr:row>
      <xdr:rowOff>64108</xdr:rowOff>
    </xdr:from>
    <xdr:to>
      <xdr:col>7</xdr:col>
      <xdr:colOff>3048000</xdr:colOff>
      <xdr:row>354</xdr:row>
      <xdr:rowOff>56030</xdr:rowOff>
    </xdr:to>
    <xdr:sp macro="" textlink="">
      <xdr:nvSpPr>
        <xdr:cNvPr id="2" name="TextBox 1">
          <a:extLst>
            <a:ext uri="{FF2B5EF4-FFF2-40B4-BE49-F238E27FC236}">
              <a16:creationId xmlns:a16="http://schemas.microsoft.com/office/drawing/2014/main" id="{A1ABCC01-9A3A-4E6D-B258-CDEE38360494}"/>
            </a:ext>
          </a:extLst>
        </xdr:cNvPr>
        <xdr:cNvSpPr txBox="1"/>
      </xdr:nvSpPr>
      <xdr:spPr>
        <a:xfrm>
          <a:off x="142490" y="59858696"/>
          <a:ext cx="9774716" cy="465356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DEQ Assumptions:</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 classification of some areas as  being “grandfathered,” "pre-1971,"pre-law," or “pre-1974” acres may have been confused through historical DEQ and MR correspondence and bond calculations. The information contained in this bond has been compiled based on previous bond reviews and the best available acreage tracking and current Operations and Reclamation Plans (2023), which reflect a consolidated permit OP#00030 (combined with former 00030A, 00041, and 00108 in 2021).</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a:solidFill>
                <a:schemeClr val="dk1"/>
              </a:solidFill>
              <a:effectLst/>
              <a:latin typeface="+mn-lt"/>
              <a:ea typeface="+mn-ea"/>
              <a:cs typeface="+mn-cs"/>
            </a:rPr>
            <a:t>Areas of mining disturbance existed prior to the date the MMRA </a:t>
          </a:r>
          <a:r>
            <a:rPr lang="en-US" sz="1100" b="0" i="0" u="none" strike="noStrike" baseline="0">
              <a:solidFill>
                <a:schemeClr val="dk1"/>
              </a:solidFill>
              <a:latin typeface="+mn-lt"/>
              <a:ea typeface="+mn-ea"/>
              <a:cs typeface="+mn-cs"/>
            </a:rPr>
            <a:t>took effect (3/9/1971). Additional amendments affecting bonding practices took effect on 7/1/1974. </a:t>
          </a:r>
          <a:r>
            <a:rPr lang="en-US" sz="1100" b="0" i="0" u="none" strike="noStrike" baseline="0">
              <a:solidFill>
                <a:schemeClr val="dk1"/>
              </a:solidFill>
              <a:effectLst/>
              <a:latin typeface="+mn-lt"/>
              <a:ea typeface="+mn-ea"/>
              <a:cs typeface="+mn-cs"/>
            </a:rPr>
            <a:t>A</a:t>
          </a:r>
          <a:r>
            <a:rPr lang="en-US" sz="1100" b="0" i="0" u="none" strike="noStrike" baseline="0">
              <a:solidFill>
                <a:schemeClr val="dk1"/>
              </a:solidFill>
              <a:latin typeface="+mn-lt"/>
              <a:ea typeface="+mn-ea"/>
              <a:cs typeface="+mn-cs"/>
            </a:rPr>
            <a:t>n opinion from the Attorney General in 1977 established that “The concentrator and precipitation plant operated by the Anaconda Company in Butte, Montana, are exempted from regulation under the Hard Rock Act by section 50-1219, R.C.M. 1947, since these facilities were constructed prior to enactment.”  These facilities have been referred to by many terms (see above), though it may be most helpful to refer to them as "exempt" areas.  Site maps often show these as shaded areas within the Permit 00030 boundary, though they are exempt from the permit. Reclamation bond is not held for these areas ($0/acre). </a:t>
          </a:r>
        </a:p>
        <a:p>
          <a:endParaRPr lang="en-US" sz="1100" b="0" i="0" u="none" strike="noStrike" baseline="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baseline="0">
              <a:solidFill>
                <a:schemeClr val="dk1"/>
              </a:solidFill>
              <a:latin typeface="+mn-lt"/>
              <a:ea typeface="+mn-ea"/>
              <a:cs typeface="+mn-cs"/>
            </a:rPr>
            <a:t>The permit exemption has been applied only to specific processing facilities. Other areas of pre-1971 disturbance (e.g. tailings impoundment, leach pads, dumps, roads, Berkeley Pit) were incorporated into Permit 00030, included in the Operating and Reclamation Plans, and bonded.  The bonding level for the Permit 00030 area has been limited to $500/acre, based on bonding levels applied between 1971 and 1974. Other permit areas (post-1974; former Permits 00030A, 00041, and 00108) are bonded at the estimated current cost of completing reclamation.</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baseline="0">
              <a:solidFill>
                <a:schemeClr val="dk1"/>
              </a:solidFill>
              <a:effectLst/>
              <a:latin typeface="+mn-lt"/>
              <a:ea typeface="+mn-ea"/>
              <a:cs typeface="+mn-cs"/>
            </a:rPr>
            <a:t>The full costs for removal and reclamation of some facilities or structures may not be applied to the total obligated bond because they are located within former Permit #00030 (pre-1974 disturbance), thus the bond limit of $500/acre has already been applied for that location. This might give the wrong impression that the facilities themselves are exempt from bonding, but it should not be interpreted that the facilities are exempt from the permit ("pre-law" or pre-1971). The statutory limit for bonding has been applied to the all pre-1974 disturbance areas.</a:t>
          </a:r>
          <a:br>
            <a:rPr lang="en-US" sz="1100" b="0" i="0" baseline="0">
              <a:solidFill>
                <a:schemeClr val="dk1"/>
              </a:solidFill>
              <a:effectLst/>
              <a:latin typeface="+mn-lt"/>
              <a:ea typeface="+mn-ea"/>
              <a:cs typeface="+mn-cs"/>
            </a:rPr>
          </a:b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Another distinction can be made for some features within former Permit 00030 (pre-1974 disturbance) that may not be bonded because the long-term operation, reclamation, and/or removal of facilities will be managed under Superfund activities (within Butte Mine Flooding Operable Unit). These would include the Berkeley Pit and other features associated with water management and water treatment. The facilities are exempt from bonding under MMRA, but it should not be interpreted that the facilities are exempt from the permit ("pre-law" or pre-1971).</a:t>
          </a:r>
          <a:endParaRPr lang="en-US" sz="1100"/>
        </a:p>
      </xdr:txBody>
    </xdr:sp>
    <xdr:clientData/>
  </xdr:twoCellAnchor>
  <xdr:twoCellAnchor>
    <xdr:from>
      <xdr:col>0</xdr:col>
      <xdr:colOff>162297</xdr:colOff>
      <xdr:row>696</xdr:row>
      <xdr:rowOff>57893</xdr:rowOff>
    </xdr:from>
    <xdr:to>
      <xdr:col>7</xdr:col>
      <xdr:colOff>2917371</xdr:colOff>
      <xdr:row>755</xdr:row>
      <xdr:rowOff>1</xdr:rowOff>
    </xdr:to>
    <xdr:sp macro="" textlink="">
      <xdr:nvSpPr>
        <xdr:cNvPr id="3" name="TextBox 2">
          <a:extLst>
            <a:ext uri="{FF2B5EF4-FFF2-40B4-BE49-F238E27FC236}">
              <a16:creationId xmlns:a16="http://schemas.microsoft.com/office/drawing/2014/main" id="{E2C86D48-5EB1-47EC-B077-D3D46FF92A7F}"/>
            </a:ext>
          </a:extLst>
        </xdr:cNvPr>
        <xdr:cNvSpPr txBox="1"/>
      </xdr:nvSpPr>
      <xdr:spPr>
        <a:xfrm>
          <a:off x="162297" y="44539643"/>
          <a:ext cx="9449788" cy="1118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2023 Reclamation Plan Citations:</a:t>
          </a:r>
        </a:p>
        <a:p>
          <a:r>
            <a:rPr lang="en-US" sz="1100" b="1" i="0" u="none" strike="noStrike" baseline="0">
              <a:solidFill>
                <a:schemeClr val="dk1"/>
              </a:solidFill>
              <a:latin typeface="+mn-lt"/>
              <a:ea typeface="+mn-ea"/>
              <a:cs typeface="+mn-cs"/>
            </a:rPr>
            <a:t>6.0 REVEGETATION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Revegetation would be conducted to provide stabilization through erosion and sedimentation control and reestablishment of a maintenance-free vegetative cover that meets post-closure land use objectives (MCA 82-4-336(8) and (9)(a) and ARM 17.24.115(1)(c)). All areas would be revegetated to conform with county standards for noxious weed control. Revegetation methods may be modified per DEQ consultation and approval based on results of ongoing MR and other local evaluations, availability of materials, and changes in reclamation technology.</a:t>
          </a:r>
        </a:p>
        <a:p>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6.1 SPECIES SELECTION AND SEED MIXTURES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Plant species recommended for revegetation are based on establishment and self-perpetuation potential, rooting and other growth characteristics, soil stabilizing qualities, metal and acid tolerance, commercial availability, wildlife palatability, and aesthetics.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Species selection is based on documentation of species occurrence and community composition on: 1) adjacent, (relatively) undisturbed plant communities surveyed prior to disturbance; 2) historic disturbances in the Butte-Silver Bow area; and 3) reclaimed sites at the mine. MR proposes to revegetate disturbances using native (and a few selected naturalized) grasses that: establish readily on a wide variety of substrates; have occurred widely in the Butte reclamation landscape since the 1970’s; and are able to compete successfully with noxious weeds. Those species which are drought tolerant and locally adapted to a relatively wide range of cover material conditions (texture, pH, metal tolerance, etc.) have been emphasized.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Seeding rates have been calculated on a Pure Live Seed (PLS) basis. Broadcast seeding rates have been formulated to average approximately 120 PLS per square foot; drill seeding would be at one-half the broadcast rate. Germination success and the effects of competition between species would be evaluated to determine if rate adjustments are indicated for subsequent revegetation efforts. Quickguard sterile triticale will be seeded on steeper slopes and sites requiring rapid, non-persistent initial stabilization.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permanent seed mixture may be modified based on limited species availability, poor initial performance, new plant material releases, or advances in reclamation technology. The seed mixture emphasizes quick-establishing species and seeding rates that are expected to provide noxious weed competition. Seed that is genotypically and phenotypically adapted to the project area and from within the Northern Rocky Mountains or Great Plains would be used when commercially available in sufficient quantity and acceptable quality. </a:t>
          </a:r>
        </a:p>
        <a:p>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Forbs and shrubs would also be used to selectively revegetate disturbances to provide benefits for wildlife as well as improve visual diversity and interest. Forbs and shrubs would be added to the permanent seed mixture when it has been determined that noxious weeds are under control. Forbs and shrubs would be seeded at locations and rates to be determined, based on wildlife use considerations, visual significance, slope, aspect, composition, topography, and seed availability.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baseline="0">
              <a:solidFill>
                <a:schemeClr val="dk1"/>
              </a:solidFill>
              <a:effectLst/>
              <a:latin typeface="+mn-lt"/>
              <a:ea typeface="+mn-ea"/>
              <a:cs typeface="+mn-cs"/>
            </a:rPr>
            <a:t>6.3 SEEDBED PREPARATION </a:t>
          </a:r>
          <a:endParaRPr lang="en-US">
            <a:effectLst/>
          </a:endParaRPr>
        </a:p>
        <a:p>
          <a:r>
            <a:rPr lang="en-US" sz="1100" b="0" i="0" baseline="0">
              <a:solidFill>
                <a:schemeClr val="dk1"/>
              </a:solidFill>
              <a:effectLst/>
              <a:latin typeface="+mn-lt"/>
              <a:ea typeface="+mn-ea"/>
              <a:cs typeface="+mn-cs"/>
            </a:rPr>
            <a:t>Seedbed preparation would be conducted as needed after coversoil distribution and amendment application. On slopes that are less than 33 percent, the seedbed would be prepared along the contour, utilizing a chisel-plow, disc, harrow, cultipacker, or other appropriate equipment to break up the surface and prepare a firm seedbed. On slopes that are steeper than 33 percent, too narrow to operate equipment, or on sites where, if used, organic debris has been respread, the surface would be left in a roughened condition. If needed, compacted surfaces including the RDSs and, following their removal, soil and alluvium stockpile sites, would be ripped. </a:t>
          </a:r>
          <a:br>
            <a:rPr lang="en-US" sz="1100" b="0" i="0" baseline="0">
              <a:solidFill>
                <a:schemeClr val="dk1"/>
              </a:solidFill>
              <a:effectLst/>
              <a:latin typeface="+mn-lt"/>
              <a:ea typeface="+mn-ea"/>
              <a:cs typeface="+mn-cs"/>
            </a:rPr>
          </a:br>
          <a:endParaRPr lang="en-US">
            <a:effectLst/>
          </a:endParaRPr>
        </a:p>
        <a:p>
          <a:r>
            <a:rPr lang="en-US" sz="1100" b="1" i="0" baseline="0">
              <a:solidFill>
                <a:schemeClr val="dk1"/>
              </a:solidFill>
              <a:effectLst/>
              <a:latin typeface="+mn-lt"/>
              <a:ea typeface="+mn-ea"/>
              <a:cs typeface="+mn-cs"/>
            </a:rPr>
            <a:t>6.3 SEEDING SCHEDULE AND METHODS </a:t>
          </a:r>
          <a:endParaRPr lang="en-US">
            <a:effectLst/>
          </a:endParaRPr>
        </a:p>
        <a:p>
          <a:r>
            <a:rPr lang="en-US" sz="1100" b="0" i="0" baseline="0">
              <a:solidFill>
                <a:schemeClr val="dk1"/>
              </a:solidFill>
              <a:effectLst/>
              <a:latin typeface="+mn-lt"/>
              <a:ea typeface="+mn-ea"/>
              <a:cs typeface="+mn-cs"/>
            </a:rPr>
            <a:t>Seeding would normally be conducted the first season following coversoil application. If site conditions are suitable (good soil moisture, predicted rainfall, north or east-facing slope), seeding would be conducted as soon after seedbed preparation as possible. Seeding would normally be conducted in fall (after September 15), or spring (prior to mid-June) depending on soil moisture, climatic conditions, and access. Spring seedings would be conducted as early in the season as possible to maximize use of early moisture. </a:t>
          </a:r>
          <a:br>
            <a:rPr lang="en-US" sz="1100" b="0" i="0" baseline="0">
              <a:solidFill>
                <a:schemeClr val="dk1"/>
              </a:solidFill>
              <a:effectLst/>
              <a:latin typeface="+mn-lt"/>
              <a:ea typeface="+mn-ea"/>
              <a:cs typeface="+mn-cs"/>
            </a:rPr>
          </a:br>
          <a:endParaRPr lang="en-US">
            <a:effectLst/>
          </a:endParaRPr>
        </a:p>
        <a:p>
          <a:r>
            <a:rPr lang="en-US" sz="1100" b="0" i="0" baseline="0">
              <a:solidFill>
                <a:schemeClr val="dk1"/>
              </a:solidFill>
              <a:effectLst/>
              <a:latin typeface="+mn-lt"/>
              <a:ea typeface="+mn-ea"/>
              <a:cs typeface="+mn-cs"/>
            </a:rPr>
            <a:t>Two methods of seeding would be employed; broadcast and drill. Broadcast seeding would be the preferred method on rocky areas and slopes steeper than 3H:1V. Broadcast seeding would be conducted by utilizing broadcast drop seeders or comparable equipment, manually-operated cyclone-type bucket spreaders, or a mechanical seed blower. Seed would be mixed frequently in the seed boxes to discourage settling. Where possible and practical, broadcast-seeded areas would be chained or harrowed to cover the seed. Where slope conditions allow, broadcast-seeded areas may be dozer-tracked perpendicular to the slope. On small or inaccessible sites, hand raking may be used to cover seed. </a:t>
          </a:r>
          <a:br>
            <a:rPr lang="en-US" sz="1100" b="0" i="0" baseline="0">
              <a:solidFill>
                <a:schemeClr val="dk1"/>
              </a:solidFill>
              <a:effectLst/>
              <a:latin typeface="+mn-lt"/>
              <a:ea typeface="+mn-ea"/>
              <a:cs typeface="+mn-cs"/>
            </a:rPr>
          </a:br>
          <a:endParaRPr lang="en-US">
            <a:effectLst/>
          </a:endParaRPr>
        </a:p>
        <a:p>
          <a:r>
            <a:rPr lang="en-US" sz="1100" b="0" i="0" baseline="0">
              <a:solidFill>
                <a:schemeClr val="dk1"/>
              </a:solidFill>
              <a:effectLst/>
              <a:latin typeface="+mn-lt"/>
              <a:ea typeface="+mn-ea"/>
              <a:cs typeface="+mn-cs"/>
            </a:rPr>
            <a:t>When hydroseeding is used, seed, fertilizer, and mulch (about 250 pounds per acre) will be sprayed in one application. A second application will spray the remainder of the cellulose fiber mulch (to achieve a total of about one ton per acre) and a tackifier (at the manufacturer’s recommended application rates). </a:t>
          </a:r>
          <a:br>
            <a:rPr lang="en-US" sz="1100" b="0" i="0" baseline="0">
              <a:solidFill>
                <a:schemeClr val="dk1"/>
              </a:solidFill>
              <a:effectLst/>
              <a:latin typeface="+mn-lt"/>
              <a:ea typeface="+mn-ea"/>
              <a:cs typeface="+mn-cs"/>
            </a:rPr>
          </a:br>
          <a:endParaRPr lang="en-US">
            <a:effectLst/>
          </a:endParaRPr>
        </a:p>
        <a:p>
          <a:r>
            <a:rPr lang="en-US" sz="1100" b="0" i="0" baseline="0">
              <a:solidFill>
                <a:schemeClr val="dk1"/>
              </a:solidFill>
              <a:effectLst/>
              <a:latin typeface="+mn-lt"/>
              <a:ea typeface="+mn-ea"/>
              <a:cs typeface="+mn-cs"/>
            </a:rPr>
            <a:t>Drill seeding may be utilized on slopes less than 3H:1V. Drill seeding will be done along the contour wherever the surface is not level. Seeding depth will generally be ¼- to ½-inch. Drill row spacing will vary from 7 to 14 inches. </a:t>
          </a:r>
          <a:br>
            <a:rPr lang="en-US" sz="1100" b="0" i="0" baseline="0">
              <a:solidFill>
                <a:schemeClr val="dk1"/>
              </a:solidFill>
              <a:effectLst/>
              <a:latin typeface="+mn-lt"/>
              <a:ea typeface="+mn-ea"/>
              <a:cs typeface="+mn-cs"/>
            </a:rPr>
          </a:br>
          <a:endParaRPr lang="en-US">
            <a:effectLst/>
          </a:endParaRPr>
        </a:p>
        <a:p>
          <a:r>
            <a:rPr lang="en-US" sz="1100" b="1" i="0" baseline="0">
              <a:solidFill>
                <a:schemeClr val="dk1"/>
              </a:solidFill>
              <a:effectLst/>
              <a:latin typeface="+mn-lt"/>
              <a:ea typeface="+mn-ea"/>
              <a:cs typeface="+mn-cs"/>
            </a:rPr>
            <a:t>6.4 TREE PLANTING </a:t>
          </a:r>
          <a:endParaRPr lang="en-US">
            <a:effectLst/>
          </a:endParaRPr>
        </a:p>
        <a:p>
          <a:r>
            <a:rPr lang="en-US" sz="1100" b="0" i="0" baseline="0">
              <a:solidFill>
                <a:schemeClr val="dk1"/>
              </a:solidFill>
              <a:effectLst/>
              <a:latin typeface="+mn-lt"/>
              <a:ea typeface="+mn-ea"/>
              <a:cs typeface="+mn-cs"/>
            </a:rPr>
            <a:t>Trees may be selectively planted to provide visual screening, increase biological diversity, and enhance wildlife habitat. Tree planting would be limited to localized groupings; “plantation-style” row plantings would be avoided. Planting rates would be based on a total of about 400 trees per acre. Tree species are listed in Table RP-6-3. Species, planting ratios, and densities would be based on slope, aspect, and moisture conditions. </a:t>
          </a:r>
          <a:br>
            <a:rPr lang="en-US" sz="1100" b="0" i="0" baseline="0">
              <a:solidFill>
                <a:schemeClr val="dk1"/>
              </a:solidFill>
              <a:effectLst/>
              <a:latin typeface="+mn-lt"/>
              <a:ea typeface="+mn-ea"/>
              <a:cs typeface="+mn-cs"/>
            </a:rPr>
          </a:br>
          <a:endParaRPr lang="en-US">
            <a:effectLst/>
          </a:endParaRPr>
        </a:p>
        <a:p>
          <a:r>
            <a:rPr lang="en-US" sz="1100" b="0" i="0" baseline="0">
              <a:solidFill>
                <a:schemeClr val="dk1"/>
              </a:solidFill>
              <a:effectLst/>
              <a:latin typeface="+mn-lt"/>
              <a:ea typeface="+mn-ea"/>
              <a:cs typeface="+mn-cs"/>
            </a:rPr>
            <a:t>MR will determine tree planting areas based on visual design elements (screening, continuity with existing stands, landscape position) and will capitalize on site conditions, such as topography and substrate, to sustain tree growth once established. Planting areas would be delineated and documented in MR’s annual reports. </a:t>
          </a:r>
          <a:endParaRPr lang="en-US">
            <a:effectLst/>
          </a:endParaRPr>
        </a:p>
        <a:p>
          <a:endParaRPr lang="en-US" sz="1100"/>
        </a:p>
      </xdr:txBody>
    </xdr:sp>
    <xdr:clientData/>
  </xdr:twoCellAnchor>
  <xdr:twoCellAnchor>
    <xdr:from>
      <xdr:col>0</xdr:col>
      <xdr:colOff>170575</xdr:colOff>
      <xdr:row>464</xdr:row>
      <xdr:rowOff>85777</xdr:rowOff>
    </xdr:from>
    <xdr:to>
      <xdr:col>7</xdr:col>
      <xdr:colOff>2764043</xdr:colOff>
      <xdr:row>511</xdr:row>
      <xdr:rowOff>44823</xdr:rowOff>
    </xdr:to>
    <xdr:sp macro="" textlink="">
      <xdr:nvSpPr>
        <xdr:cNvPr id="4" name="TextBox 3">
          <a:extLst>
            <a:ext uri="{FF2B5EF4-FFF2-40B4-BE49-F238E27FC236}">
              <a16:creationId xmlns:a16="http://schemas.microsoft.com/office/drawing/2014/main" id="{40132B83-7A70-4AE6-A3DA-87C3C70E34E9}"/>
            </a:ext>
          </a:extLst>
        </xdr:cNvPr>
        <xdr:cNvSpPr txBox="1"/>
      </xdr:nvSpPr>
      <xdr:spPr>
        <a:xfrm>
          <a:off x="170575" y="85071189"/>
          <a:ext cx="9462674" cy="891254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8.2 ROCK DISPOSAL SITES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Non-ore rock is used to build the YDTI Embankment, pit ramps, and haul roads. Suitable non-ore rock is also used for reclamation capping and can be used, if necessary, for dust control on the YDTI beach. When not necessary for construction, non-ore rock is placed in RDSs, which are also referred to as “Waste Rock Dumps.” General reclamation methods for RDSs are specified in Appendix RP-C and include: </a:t>
          </a:r>
        </a:p>
        <a:p>
          <a:r>
            <a:rPr lang="en-US" sz="1100" b="0" i="0" u="none" strike="noStrike" baseline="0">
              <a:solidFill>
                <a:schemeClr val="dk1"/>
              </a:solidFill>
              <a:latin typeface="+mn-lt"/>
              <a:ea typeface="+mn-ea"/>
              <a:cs typeface="+mn-cs"/>
            </a:rPr>
            <a:t>• reducing slopes to not steeper than 2.7H:1V (except for a short section of the East-West Embankment which will be 2H:1V); </a:t>
          </a:r>
        </a:p>
        <a:p>
          <a:r>
            <a:rPr lang="en-US" sz="1100" b="0" i="0" u="none" strike="noStrike" baseline="0">
              <a:solidFill>
                <a:schemeClr val="dk1"/>
              </a:solidFill>
              <a:latin typeface="+mn-lt"/>
              <a:ea typeface="+mn-ea"/>
              <a:cs typeface="+mn-cs"/>
            </a:rPr>
            <a:t>• regrading to keep water from ponding; </a:t>
          </a:r>
        </a:p>
        <a:p>
          <a:r>
            <a:rPr lang="en-US" sz="1100" b="0" i="0" u="none" strike="noStrike" baseline="0">
              <a:solidFill>
                <a:schemeClr val="dk1"/>
              </a:solidFill>
              <a:latin typeface="+mn-lt"/>
              <a:ea typeface="+mn-ea"/>
              <a:cs typeface="+mn-cs"/>
            </a:rPr>
            <a:t>• constructing benches or runoff collection ditches on regraded slopes; </a:t>
          </a:r>
        </a:p>
        <a:p>
          <a:r>
            <a:rPr lang="en-US" sz="1100" b="0" i="0" u="none" strike="noStrike" baseline="0">
              <a:solidFill>
                <a:schemeClr val="dk1"/>
              </a:solidFill>
              <a:latin typeface="+mn-lt"/>
              <a:ea typeface="+mn-ea"/>
              <a:cs typeface="+mn-cs"/>
            </a:rPr>
            <a:t>• redistributing 20 inches of coversoil on slopes and 28 inches of coversoil on tops and benches; </a:t>
          </a:r>
        </a:p>
        <a:p>
          <a:r>
            <a:rPr lang="en-US" sz="1100" b="0" i="0" u="none" strike="noStrike" baseline="0">
              <a:solidFill>
                <a:schemeClr val="dk1"/>
              </a:solidFill>
              <a:latin typeface="+mn-lt"/>
              <a:ea typeface="+mn-ea"/>
              <a:cs typeface="+mn-cs"/>
            </a:rPr>
            <a:t>• testing and amending alluvium, if necessary; </a:t>
          </a:r>
        </a:p>
        <a:p>
          <a:r>
            <a:rPr lang="en-US" sz="1100" b="0" i="0" u="none" strike="noStrike" baseline="0">
              <a:solidFill>
                <a:schemeClr val="dk1"/>
              </a:solidFill>
              <a:latin typeface="+mn-lt"/>
              <a:ea typeface="+mn-ea"/>
              <a:cs typeface="+mn-cs"/>
            </a:rPr>
            <a:t>• if needed, applying and incorporating organic matter into some areas if topsoil is not spread over alluvium (Section 5.2); and </a:t>
          </a:r>
        </a:p>
        <a:p>
          <a:r>
            <a:rPr lang="en-US" sz="1100" b="0" i="0" u="none" strike="noStrike" baseline="0">
              <a:solidFill>
                <a:schemeClr val="dk1"/>
              </a:solidFill>
              <a:latin typeface="+mn-lt"/>
              <a:ea typeface="+mn-ea"/>
              <a:cs typeface="+mn-cs"/>
            </a:rPr>
            <a:t>• establishing vegetation and controlling weeds. </a:t>
          </a:r>
        </a:p>
        <a:p>
          <a:br>
            <a:rPr lang="en-US" sz="1100" b="1"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8.3.2 Continental Pit </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Post-closure, slopes within the Continental Pit are to be reclaimed as talus slopes and highwall features. Level areas above the 5,410 elevation (approximately 5468 Anaconda Copper Mining Company (ACM) Datum) will be revegetated (see Exhibit RP-2). </a:t>
          </a:r>
          <a:r>
            <a:rPr lang="en-US" sz="1100" b="1" i="0" u="none" strike="noStrike" baseline="0">
              <a:solidFill>
                <a:schemeClr val="dk1"/>
              </a:solidFill>
              <a:latin typeface="+mn-lt"/>
              <a:ea typeface="+mn-ea"/>
              <a:cs typeface="+mn-cs"/>
            </a:rPr>
            <a:t>These areas will be regraded, ripped, covered with 28 inches of alluvium, and seeded. </a:t>
          </a:r>
          <a:r>
            <a:rPr lang="en-US" sz="1100" b="0" i="0" u="none" strike="noStrike" baseline="0">
              <a:solidFill>
                <a:schemeClr val="dk1"/>
              </a:solidFill>
              <a:latin typeface="+mn-lt"/>
              <a:ea typeface="+mn-ea"/>
              <a:cs typeface="+mn-cs"/>
            </a:rPr>
            <a:t>Areas below the 5,410 elevation would be managed under BMFOU.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8.3.3.Central Zone Alluvium Borrow Area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Although the Central Zone was previously approved as a source of capping materials, MR has conducted additional drilling and prepared a mine plan for the Central Zone (Czehura 2021) which is described in more detail in MR’s Operations Plan. Characteristics and quantities of the alluvium are presented in Section 4.2.1 of this Plan. </a:t>
          </a:r>
        </a:p>
        <a:p>
          <a:r>
            <a:rPr lang="en-US" sz="1100" b="1" i="0" u="none" strike="noStrike" baseline="0">
              <a:solidFill>
                <a:schemeClr val="dk1"/>
              </a:solidFill>
              <a:latin typeface="+mn-lt"/>
              <a:ea typeface="+mn-ea"/>
              <a:cs typeface="+mn-cs"/>
            </a:rPr>
            <a:t>Reclamation of the CZABA would be similar to that of the Continental Pit described above, with regrading, ripping, and seeding of wider level areas including the pit floor, benches, and haul roads. Coversoils would likely not be necessary in the CZABA</a:t>
          </a:r>
          <a:r>
            <a:rPr lang="en-US" sz="1100" b="0" i="0" u="none" strike="noStrike" baseline="0">
              <a:solidFill>
                <a:schemeClr val="dk1"/>
              </a:solidFill>
              <a:latin typeface="+mn-lt"/>
              <a:ea typeface="+mn-ea"/>
              <a:cs typeface="+mn-cs"/>
            </a:rPr>
            <a:t>. If testing indicates a pH below 5.5, lime would be added and incorporated to raise the pH to about 6.0. </a:t>
          </a:r>
          <a:br>
            <a:rPr lang="en-US" sz="1100" b="1" i="0" u="none" strike="noStrike" baseline="0">
              <a:solidFill>
                <a:schemeClr val="dk1"/>
              </a:solidFill>
              <a:latin typeface="+mn-lt"/>
              <a:ea typeface="+mn-ea"/>
              <a:cs typeface="+mn-cs"/>
            </a:rPr>
          </a:br>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8.4 LEACH PADS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Leach pads were constructed by the ACM starting about 1963. Pads are constructed of low-grade ore and form a series of shallow depressions. Once the pads are decommissioned, they are frequently kept on site for non-ore rock disposal. The North RDS and Great Northern RDS, for example, will be placed on inactive leach pads. </a:t>
          </a:r>
        </a:p>
        <a:p>
          <a:r>
            <a:rPr lang="en-US" sz="1100" b="0" i="0" u="none" strike="noStrike" baseline="0">
              <a:solidFill>
                <a:schemeClr val="dk1"/>
              </a:solidFill>
              <a:latin typeface="+mn-lt"/>
              <a:ea typeface="+mn-ea"/>
              <a:cs typeface="+mn-cs"/>
            </a:rPr>
            <a:t>If a leach pad does not become a RDS, </a:t>
          </a:r>
          <a:r>
            <a:rPr lang="en-US" sz="1100" b="1" i="0" u="none" strike="noStrike" baseline="0">
              <a:solidFill>
                <a:schemeClr val="dk1"/>
              </a:solidFill>
              <a:latin typeface="+mn-lt"/>
              <a:ea typeface="+mn-ea"/>
              <a:cs typeface="+mn-cs"/>
            </a:rPr>
            <a:t>it would be graded and/or capped with non-ore rock to eliminate depressions and the tops would be covered with 28 inches of alluvium. The slopes of the leach pads would be graded to a 2.7H:1V or flatter slope and covered with 20 inches of alluvium</a:t>
          </a:r>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Amendments may be applied based on testing results. The sites would be seeded </a:t>
          </a:r>
          <a:r>
            <a:rPr lang="en-US" sz="1100" b="0" i="0" u="none" strike="noStrike" baseline="0">
              <a:solidFill>
                <a:schemeClr val="dk1"/>
              </a:solidFill>
              <a:latin typeface="+mn-lt"/>
              <a:ea typeface="+mn-ea"/>
              <a:cs typeface="+mn-cs"/>
            </a:rPr>
            <a:t>as described in Section 6.0 and summarized in Appendix RP-C. </a:t>
          </a:r>
          <a:endParaRPr lang="en-US" sz="1100" b="1" i="0" u="none" strike="noStrike" baseline="0">
            <a:solidFill>
              <a:schemeClr val="dk1"/>
            </a:solidFill>
            <a:latin typeface="+mn-lt"/>
            <a:ea typeface="+mn-ea"/>
            <a:cs typeface="+mn-cs"/>
          </a:endParaRPr>
        </a:p>
        <a:p>
          <a:br>
            <a:rPr lang="en-US" sz="1100" b="1"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8.6 SOIL STOCKPILE AREA RECLAMATION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Once all soil has been removed, </a:t>
          </a:r>
          <a:r>
            <a:rPr lang="en-US" sz="1100" b="1" i="0" u="none" strike="noStrike" baseline="0">
              <a:solidFill>
                <a:schemeClr val="dk1"/>
              </a:solidFill>
              <a:latin typeface="+mn-lt"/>
              <a:ea typeface="+mn-ea"/>
              <a:cs typeface="+mn-cs"/>
            </a:rPr>
            <a:t>stockpile storage areas would be ripped to relieve compaction</a:t>
          </a:r>
          <a:r>
            <a:rPr lang="en-US" sz="1100" b="0" i="0" u="none" strike="noStrike" baseline="0">
              <a:solidFill>
                <a:schemeClr val="dk1"/>
              </a:solidFill>
              <a:latin typeface="+mn-lt"/>
              <a:ea typeface="+mn-ea"/>
              <a:cs typeface="+mn-cs"/>
            </a:rPr>
            <a:t>. Revegetation would be conducted as described in Section 6.0 and summarized in Appendix RP-C. </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8.7 ALLUVIUM AND LEACHED CAP STOCKPILE AREA RECLAMATION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Alluvium stockpiles have been, and will be sited on previously disturbed ground. One stockpile area will be reclaimed as part of the North RDS; </a:t>
          </a:r>
          <a:r>
            <a:rPr lang="en-US" sz="1100" b="1" i="0" u="none" strike="noStrike" baseline="0">
              <a:solidFill>
                <a:schemeClr val="dk1"/>
              </a:solidFill>
              <a:latin typeface="+mn-lt"/>
              <a:ea typeface="+mn-ea"/>
              <a:cs typeface="+mn-cs"/>
            </a:rPr>
            <a:t>the other will be ripped if needed, capped, and seeded</a:t>
          </a:r>
          <a:r>
            <a:rPr lang="en-US" sz="1100" b="0" i="0" u="none" strike="noStrike" baseline="0">
              <a:solidFill>
                <a:schemeClr val="dk1"/>
              </a:solidFill>
              <a:latin typeface="+mn-lt"/>
              <a:ea typeface="+mn-ea"/>
              <a:cs typeface="+mn-cs"/>
            </a:rPr>
            <a:t>. When decommissioned, </a:t>
          </a:r>
          <a:r>
            <a:rPr lang="en-US" sz="1100" b="1" i="0" u="none" strike="noStrike" baseline="0">
              <a:solidFill>
                <a:schemeClr val="dk1"/>
              </a:solidFill>
              <a:latin typeface="+mn-lt"/>
              <a:ea typeface="+mn-ea"/>
              <a:cs typeface="+mn-cs"/>
            </a:rPr>
            <a:t>the Lunch Room stockpile site will be reclaimed by leaving a 28-inch layer of alluvium, amending if necessary, and seeding. </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There are currently no leached cap stockpile areas; however, if any are sited in the future, they would be reclaimed similarly to alluvium stockpile sites.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baseline="0">
              <a:solidFill>
                <a:schemeClr val="dk1"/>
              </a:solidFill>
              <a:effectLst/>
              <a:latin typeface="+mn-lt"/>
              <a:ea typeface="+mn-ea"/>
              <a:cs typeface="+mn-cs"/>
            </a:rPr>
            <a:t>8.8 MINE AND ACCESS ROADS (2023 Plan + MR25-001)</a:t>
          </a:r>
          <a:endParaRPr lang="en-US">
            <a:effectLst/>
          </a:endParaRPr>
        </a:p>
        <a:p>
          <a:r>
            <a:rPr lang="en-US" sz="1100" b="0" i="0" baseline="0">
              <a:solidFill>
                <a:schemeClr val="dk1"/>
              </a:solidFill>
              <a:effectLst/>
              <a:latin typeface="+mn-lt"/>
              <a:ea typeface="+mn-ea"/>
              <a:cs typeface="+mn-cs"/>
            </a:rPr>
            <a:t>"Roads not necessary for post-closure management and monitoring will be reclaimed. Reclamation will consist of grading to blend into adjacent areas, ripping compacted surfaces, covering with appropriate coversoil, and amending and revegetating as described in Section 6.0 and summarized in Appendix RP-C. Stable road cuts in rock will not be graded. Grading will be conducted to minimize surface flow over fill slopes, and with non-noxious, nonflammable, noncombustible solids. </a:t>
          </a:r>
          <a:br>
            <a:rPr lang="en-US" sz="1100" b="0" i="0" baseline="0">
              <a:solidFill>
                <a:schemeClr val="dk1"/>
              </a:solidFill>
              <a:effectLst/>
              <a:latin typeface="+mn-lt"/>
              <a:ea typeface="+mn-ea"/>
              <a:cs typeface="+mn-cs"/>
            </a:rPr>
          </a:b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Post-closure road locations are shown on Exhibit RP-2 and include the YDTI Embankment crest, the ramps on the south and east sides of the North RDS, the road along the eastern side of the YDTI, a road that accesses the north portion of the tailings pond, the Bumtown Road, and roads to BMFOU facilities. </a:t>
          </a:r>
          <a:endParaRPr lang="en-US">
            <a:effectLst/>
          </a:endParaRPr>
        </a:p>
      </xdr:txBody>
    </xdr:sp>
    <xdr:clientData/>
  </xdr:twoCellAnchor>
  <xdr:twoCellAnchor>
    <xdr:from>
      <xdr:col>0</xdr:col>
      <xdr:colOff>192697</xdr:colOff>
      <xdr:row>511</xdr:row>
      <xdr:rowOff>140138</xdr:rowOff>
    </xdr:from>
    <xdr:to>
      <xdr:col>7</xdr:col>
      <xdr:colOff>2779059</xdr:colOff>
      <xdr:row>554</xdr:row>
      <xdr:rowOff>67235</xdr:rowOff>
    </xdr:to>
    <xdr:sp macro="" textlink="">
      <xdr:nvSpPr>
        <xdr:cNvPr id="5" name="TextBox 4">
          <a:extLst>
            <a:ext uri="{FF2B5EF4-FFF2-40B4-BE49-F238E27FC236}">
              <a16:creationId xmlns:a16="http://schemas.microsoft.com/office/drawing/2014/main" id="{816DA96C-3EAD-4CA9-ABA1-5BBDB6292204}"/>
            </a:ext>
          </a:extLst>
        </xdr:cNvPr>
        <xdr:cNvSpPr txBox="1"/>
      </xdr:nvSpPr>
      <xdr:spPr>
        <a:xfrm>
          <a:off x="192697" y="94079050"/>
          <a:ext cx="9455568" cy="811859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7.0 EROSION AND SEDIMENT CONTROL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"To the extent feasible, erosion control would be initiated promptly after completion or abandonment of the operation on those portions of the complex that would not be subject to further disturbance (MCA 82-4-336(2))." </a:t>
          </a:r>
        </a:p>
        <a:p>
          <a:r>
            <a:rPr lang="en-US" sz="1100" b="0" i="0" u="none" strike="noStrike" baseline="0">
              <a:solidFill>
                <a:schemeClr val="dk1"/>
              </a:solidFill>
              <a:latin typeface="+mn-lt"/>
              <a:ea typeface="+mn-ea"/>
              <a:cs typeface="+mn-cs"/>
            </a:rPr>
            <a:t>"Final erosion control will be accomplished by establishing perennial, self-perpetuating vegetation, except in open water or on exposed alluvium and bedrock highwalls (MCA 82-4-336(8)). Potential erosion from steeper slopes such as rock disposal sites, leach pad faces, and the YDTI Embankment face would be mitigated by constructing backsloped benches across the slope to reduce slope distance. The distance between benches would vary based on site conditions.  Offsite sedimentation would be controlled by a combination of on-site reclamation and erosion control, post-closure drainage system (see Section 3.2), and post-closure topography."</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 area peripheral to the YDTI (west, north, and east) rises upslope, thus there is a lower potential runoff and sediment yield. As described in Section 3.2, West Embankment runoff will report to multiple stormwater basins located along the embankment toe for retention and infiltration. Runoff from extreme storm events and the Probable Maximum Flood (PMF) during operations and post-closure would be contained in the YDTI. However, a contingency spillway will be constructed during reclamation of the YDTI as an emergency water management system designed to prevent overtopping of the embankment. Water (and sediment) from the YDTI would flow into the Continental Pit. The Continental Pit and CZABA, as well as the Berkeley Pit would be repositories for onsite runoff from the southern portion of the mine area. Stormwater runoff would be handled by ditches within the mine area (see Section 3.2 and Exhibit RP-2). The Clearwater Ditch captures sediment from the East RDS complex and directs flows to the Dredge Pond, where it is managed through operations and/or BMFOU."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7.1 SOIL STABILIZATION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Mulching may be conducted on areas where coversoil has been applied to provide erosion control, promote soil moisture retention, and provide supplemental organic material. Supplemental mulching may be necessary on a site-by-site basis if revegetation is not successful, or erosion is evident. Where used, mulch would be spread over seeded areas at rates dependent on seeding method and slope. Only noxious weed-free straw and cellulose fiber mulches will be used. Straw mulch will be applied at a rate of about one ton per acre on drill seeded surfaces and up to two tons per acre on steeper slopes where conventional broadcast methods are used. Straw mulch will be anchored into the seedbed using a mulch crimper, disc, or by dozer tracking. Cellulose fiber mulch will be applied at a rate of about one ton per acre on hydroseeded areas.</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7.2 </a:t>
          </a:r>
          <a:r>
            <a:rPr lang="en-US" sz="1100" b="1" i="0" u="none" strike="noStrike" baseline="0">
              <a:solidFill>
                <a:schemeClr val="dk1"/>
              </a:solidFill>
              <a:latin typeface="+mn-lt"/>
              <a:ea typeface="+mn-ea"/>
              <a:cs typeface="+mn-cs"/>
            </a:rPr>
            <a:t>MAINTENANCE AND REPAIRS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Erosion and sedimentation will be monitored during reclamation evaluations (see Section 10.4). Standard maintenance practices for reclaimed sites include promoting desirable perennial species establishment through control of noxious weeds, repair of rills and gullies, and reseeding if necessary. Deposits of sediment that may undesirably impact surface flows are mitigated by removing sediment deposits and/or repairing the area to control future erosion. Where erosion or sedimentation is identified, MR will implement erosion and sediment control Best Management Practices (BMPs) to mitigate the site. Table RP-7-1 lists possible BMPS.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Table RP-7-1 Erosion and Sediment Control BMPs </a:t>
          </a:r>
          <a:r>
            <a:rPr lang="en-US" sz="1100" b="0" i="0" u="none" strike="noStrike" baseline="0">
              <a:solidFill>
                <a:schemeClr val="dk1"/>
              </a:solidFill>
              <a:latin typeface="+mn-lt"/>
              <a:ea typeface="+mn-ea"/>
              <a:cs typeface="+mn-cs"/>
            </a:rPr>
            <a:t>	</a:t>
          </a:r>
        </a:p>
        <a:p>
          <a:r>
            <a:rPr lang="en-US" sz="1100" b="1" i="0" u="none" strike="noStrike" baseline="0">
              <a:solidFill>
                <a:schemeClr val="dk1"/>
              </a:solidFill>
              <a:latin typeface="+mn-lt"/>
              <a:ea typeface="+mn-ea"/>
              <a:cs typeface="+mn-cs"/>
            </a:rPr>
            <a:t>Erosion Control BMPs </a:t>
          </a:r>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Sediment Control BMPs </a:t>
          </a:r>
          <a:r>
            <a:rPr lang="en-US" sz="1100" b="0"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Surface Roughening 	Silt Fence 	</a:t>
          </a:r>
        </a:p>
        <a:p>
          <a:r>
            <a:rPr lang="en-US" sz="1100" b="0" i="0" u="none" strike="noStrike" baseline="0">
              <a:solidFill>
                <a:schemeClr val="dk1"/>
              </a:solidFill>
              <a:latin typeface="+mn-lt"/>
              <a:ea typeface="+mn-ea"/>
              <a:cs typeface="+mn-cs"/>
            </a:rPr>
            <a:t>Vegetation Establishment 	Straw/Coir Wattles 	</a:t>
          </a:r>
        </a:p>
        <a:p>
          <a:r>
            <a:rPr lang="en-US" sz="1100" b="0" i="0" u="none" strike="noStrike" baseline="0">
              <a:solidFill>
                <a:schemeClr val="dk1"/>
              </a:solidFill>
              <a:latin typeface="+mn-lt"/>
              <a:ea typeface="+mn-ea"/>
              <a:cs typeface="+mn-cs"/>
            </a:rPr>
            <a:t>Check Dams 		Earthen Berms 	</a:t>
          </a:r>
        </a:p>
        <a:p>
          <a:r>
            <a:rPr lang="en-US" sz="1100" b="0" i="0" u="none" strike="noStrike" baseline="0">
              <a:solidFill>
                <a:schemeClr val="dk1"/>
              </a:solidFill>
              <a:latin typeface="+mn-lt"/>
              <a:ea typeface="+mn-ea"/>
              <a:cs typeface="+mn-cs"/>
            </a:rPr>
            <a:t>Runoff Diversion Ditches 	Sediment Traps/Basins 	</a:t>
          </a:r>
        </a:p>
        <a:p>
          <a:r>
            <a:rPr lang="en-US" sz="1100" b="0" i="0" u="none" strike="noStrike" baseline="0">
              <a:solidFill>
                <a:schemeClr val="dk1"/>
              </a:solidFill>
              <a:latin typeface="+mn-lt"/>
              <a:ea typeface="+mn-ea"/>
              <a:cs typeface="+mn-cs"/>
            </a:rPr>
            <a:t>Slope Drains 		Sediment Removal 	</a:t>
          </a:r>
        </a:p>
        <a:p>
          <a:r>
            <a:rPr lang="en-US" sz="1100" b="0" i="0" u="none" strike="noStrike" baseline="0">
              <a:solidFill>
                <a:schemeClr val="dk1"/>
              </a:solidFill>
              <a:latin typeface="+mn-lt"/>
              <a:ea typeface="+mn-ea"/>
              <a:cs typeface="+mn-cs"/>
            </a:rPr>
            <a:t>Erosion Control Blankets 	</a:t>
          </a:r>
        </a:p>
        <a:p>
          <a:r>
            <a:rPr lang="en-US" sz="1100" b="0" i="0" u="none" strike="noStrike" baseline="0">
              <a:solidFill>
                <a:schemeClr val="dk1"/>
              </a:solidFill>
              <a:latin typeface="+mn-lt"/>
              <a:ea typeface="+mn-ea"/>
              <a:cs typeface="+mn-cs"/>
            </a:rPr>
            <a:t>Mulching 	</a:t>
          </a:r>
        </a:p>
        <a:p>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Erosion or sediment control BMPs would be determined on a case-by-case basis and installed per manufacturer’s recommendations. MR would consult DEQ’s “Field Guide for Best Management Practices” (DEQ 2014) for installation procedures. </a:t>
          </a:r>
        </a:p>
        <a:p>
          <a:r>
            <a:rPr lang="en-US" sz="1100" b="0" i="0" u="none" strike="noStrike" baseline="0">
              <a:solidFill>
                <a:schemeClr val="dk1"/>
              </a:solidFill>
              <a:latin typeface="+mn-lt"/>
              <a:ea typeface="+mn-ea"/>
              <a:cs typeface="+mn-cs"/>
            </a:rPr>
            <a:t>Reclaimed areas redisturbed by erosion or sediment control BMPs will be reseeded where established vegetation is removed. Any repair work will be documented in annual reports. </a:t>
          </a:r>
          <a:endParaRPr lang="en-US" sz="1100"/>
        </a:p>
      </xdr:txBody>
    </xdr:sp>
    <xdr:clientData/>
  </xdr:twoCellAnchor>
  <xdr:twoCellAnchor>
    <xdr:from>
      <xdr:col>0</xdr:col>
      <xdr:colOff>149711</xdr:colOff>
      <xdr:row>418</xdr:row>
      <xdr:rowOff>114300</xdr:rowOff>
    </xdr:from>
    <xdr:to>
      <xdr:col>7</xdr:col>
      <xdr:colOff>2756646</xdr:colOff>
      <xdr:row>463</xdr:row>
      <xdr:rowOff>86937</xdr:rowOff>
    </xdr:to>
    <xdr:sp macro="" textlink="">
      <xdr:nvSpPr>
        <xdr:cNvPr id="6" name="TextBox 5">
          <a:extLst>
            <a:ext uri="{FF2B5EF4-FFF2-40B4-BE49-F238E27FC236}">
              <a16:creationId xmlns:a16="http://schemas.microsoft.com/office/drawing/2014/main" id="{FDAB2D4C-3084-41BC-8C8D-8B3944DEF1D1}"/>
            </a:ext>
          </a:extLst>
        </xdr:cNvPr>
        <xdr:cNvSpPr txBox="1"/>
      </xdr:nvSpPr>
      <xdr:spPr>
        <a:xfrm>
          <a:off x="149711" y="76336712"/>
          <a:ext cx="9476141" cy="85451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2023 Reclamation Plan:</a:t>
          </a:r>
          <a:br>
            <a:rPr lang="en-US" sz="1100" b="1"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8.1.1 TSF Reclamation</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 North-South and East-West Embankments are constructed with an overall downstream embankment slope of 2H:1V or flatter. The face of the North-South Embankment and a portion of the East-West Embankment will be covered by the North RDS. Final grading will result in an overall slope of 2.7H:1V or flatter. A portion of the East-West Embankment is constructed at, and will remain at, 2H:1V. The lower portion of the East-West Embankment will be covered by the HsB RDS and will be graded at an approximate slope of 3H:1V. The West Embankment is constructed at its final slope of 3H:1V, with the exception of a small segment near the West Embankment Drain (WED) extraction pond, where the final slope would be graded to 2.5H:1V. Post-closure reclamation of the WED will be managed through the BMFOU remedy. All grading will be conducted using non-noxious, nonflammable, noncombustible solids (MCA 82-4-336(6)).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Surface water swales and ditches will be constructed as needed at variable distances along the embankment downstream slopes. The concept includes grass-lined swales in the upper reaches, transitioning to riprap-lined ditches in the lower reaches, as shown on Figure RP-7-1. </a:t>
          </a:r>
        </a:p>
        <a:p>
          <a:r>
            <a:rPr lang="en-US" sz="1100" b="0" i="0" u="none" strike="noStrike" baseline="0">
              <a:solidFill>
                <a:schemeClr val="dk1"/>
              </a:solidFill>
              <a:latin typeface="+mn-lt"/>
              <a:ea typeface="+mn-ea"/>
              <a:cs typeface="+mn-cs"/>
            </a:rPr>
            <a:t>The minimum embankment crest width will be 200 feet. The short upstream embankment face between the crest and the tailings surface will be graded to a 2.7H:1V or flatter slope. An access road will be retained along the top of the embankment crest for post-closure use. </a:t>
          </a:r>
        </a:p>
        <a:p>
          <a:r>
            <a:rPr lang="en-US" sz="1100" b="0" i="0" u="none" strike="noStrike" baseline="0">
              <a:solidFill>
                <a:schemeClr val="dk1"/>
              </a:solidFill>
              <a:latin typeface="+mn-lt"/>
              <a:ea typeface="+mn-ea"/>
              <a:cs typeface="+mn-cs"/>
            </a:rPr>
            <a:t>Coversoil will be distributed at a depth of 20 inches of alluvium (or 14 inches of alluvium with 6 inches of topsoil over it to achieve 20 inches) on the 3H:1V portion of the West Embankment concurrently with lift completion. The topsoil volume needed for resoiling the slope to the 6450-foot elevation is approximately 19,000 cubic yards. </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 East-West Embankment face will be capped with 20 inches of alluvium (or if topsoil is used, a combination of alluvium and topsoil to achieve a total of 20 inches) on the 3H:1V and 2.7H:1V or steeper slopes. Alluvium would be lime amended as necessary based on testing (see Section 5.1). </a:t>
          </a:r>
        </a:p>
        <a:p>
          <a:r>
            <a:rPr lang="en-US" sz="1100" b="0" i="0" u="none" strike="noStrike" baseline="0">
              <a:solidFill>
                <a:schemeClr val="dk1"/>
              </a:solidFill>
              <a:latin typeface="+mn-lt"/>
              <a:ea typeface="+mn-ea"/>
              <a:cs typeface="+mn-cs"/>
            </a:rPr>
            <a:t>The North-South Embankment face will be covered by, and reclaimed in conjunction with, the North RDS, discussed in Section 8.2. </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 embankment crest will be capped with 28 inches of suitable or amended alluvium unless mine rock scheduling allows the direct-haul of the final 28 inches of the crest to be constructed of suitable leached cap.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8.1.2 Beach </a:t>
          </a:r>
        </a:p>
        <a:p>
          <a:r>
            <a:rPr lang="en-US" sz="1100" b="0" i="0" u="none" strike="noStrike" baseline="0">
              <a:solidFill>
                <a:schemeClr val="dk1"/>
              </a:solidFill>
              <a:latin typeface="+mn-lt"/>
              <a:ea typeface="+mn-ea"/>
              <a:cs typeface="+mn-cs"/>
            </a:rPr>
            <a:t>Post-closure beach and pond acreage will change following closure as the pond drains. Table RP-8-2 lists beach and pond acreages annually through 2082 (assuming closure in 2031) based on modeling during the 6450 design phase. Modeling will be updated periodically to reflect changes resulting from the BMFOU remedy, on-site water management, and tailings deposition strategy. </a:t>
          </a:r>
        </a:p>
        <a:p>
          <a:r>
            <a:rPr lang="en-US" sz="1100" b="0" i="0" u="none" strike="noStrike" baseline="0">
              <a:solidFill>
                <a:schemeClr val="dk1"/>
              </a:solidFill>
              <a:latin typeface="+mn-lt"/>
              <a:ea typeface="+mn-ea"/>
              <a:cs typeface="+mn-cs"/>
            </a:rPr>
            <a:t>The tailings beach will slope gradually away from the embankment to the north at a typical slope of less than one percent. Some topographic diversity would be created by final placement of the spigots. While no final grading is anticipated in the beach or pond area since water would drain northwards to the post-closure pond, it may be necessary to conduct some surface shaping to compensate for settlement. </a:t>
          </a:r>
        </a:p>
        <a:p>
          <a:r>
            <a:rPr lang="en-US" sz="1100" b="0" i="0" u="none" strike="noStrike" baseline="0">
              <a:solidFill>
                <a:schemeClr val="dk1"/>
              </a:solidFill>
              <a:latin typeface="+mn-lt"/>
              <a:ea typeface="+mn-ea"/>
              <a:cs typeface="+mn-cs"/>
            </a:rPr>
            <a:t>The beach would either be capped with 28 inches of alluvium with the top six inches amended where necessary; or, where possible, salvaged topsoil would be used to cover as much of the beach area as possible to a depth of 6 inches over 22 inches of respread alluvium to achieve a total coversoil depth of 28 inches. Where topsoil is available, placing it over alluvium will enhance revegetation and evapotranspiration, thereby reducing percolation through the tailings.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8.1.3 Post-Closure Pond and Transition Zone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tailings pond will be positioned to the north side of the facility, and away from the YDTI Embankments. The post-closure pond will be passively controlled by the invert position of the closure spillway. </a:t>
          </a:r>
        </a:p>
        <a:p>
          <a:r>
            <a:rPr lang="en-US" sz="1100" b="0" i="0" u="none" strike="noStrike" baseline="0">
              <a:solidFill>
                <a:schemeClr val="dk1"/>
              </a:solidFill>
              <a:latin typeface="+mn-lt"/>
              <a:ea typeface="+mn-ea"/>
              <a:cs typeface="+mn-cs"/>
            </a:rPr>
            <a:t>A remnant pond will be present post-closure as was previously permitted in MR’s wet closure plan. The surface elevation of the pond at closure will be controlled due to construction of a spillway. </a:t>
          </a:r>
        </a:p>
        <a:p>
          <a:r>
            <a:rPr lang="en-US" sz="1100" b="0" i="0" u="none" strike="noStrike" baseline="0">
              <a:solidFill>
                <a:schemeClr val="dk1"/>
              </a:solidFill>
              <a:latin typeface="+mn-lt"/>
              <a:ea typeface="+mn-ea"/>
              <a:cs typeface="+mn-cs"/>
            </a:rPr>
            <a:t>The pond size will decrease over time once tailings and make-up water, WED discharge, and upgradient sources (if diversions are applicable) are no longer added and water drains through the tailings to the south. Figure RP-8-3 shows the volume of the post-closure pond over time, with an ultimate equilibrium volume of about 500 acre-feet, corresponding to an elevation of about 6363 feet. This is a conservative estimate and does not include water reduction through the Pilot Project. Note that post-closure treatment of WED water as part of the BMFOU remedy would slightly affect acreages in Table RP-8-2. MR will periodically update and report current conditions.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baseline="0">
              <a:solidFill>
                <a:schemeClr val="dk1"/>
              </a:solidFill>
              <a:effectLst/>
              <a:latin typeface="+mn-lt"/>
              <a:ea typeface="+mn-ea"/>
              <a:cs typeface="+mn-cs"/>
            </a:rPr>
            <a:t>The beach area slope will be flatter than 5 percent. Coversoil will be spread on the beach to a depth of 28 inches of alluvium or a combination of 22 inches of alluvium and 6 inches of topsoil (see Table RP-4-7). The transition zone is projected to be a 5 percent slope (see Exhibit RP-2) and would be covered with 20 inches of coversoil. Should portions of the transition zone be less than 5 percent slope, coversoil depth would be increased to 28 inches. As water level drops and the transition zone dries, coversoil would be placed in 5 year increments. A 6-inch cover of rock, leached cap, or similar material would be placed as necessary for dust control concurrently with beach exposure. Coversoil material may be stockpiled on the beach area in advance to minimize haul distance post-closure. Coversoil would not be applied to the remnant pond. </a:t>
          </a:r>
          <a:endParaRPr lang="en-US">
            <a:effectLst/>
          </a:endParaRPr>
        </a:p>
        <a:p>
          <a:endParaRPr lang="en-US" sz="1100"/>
        </a:p>
      </xdr:txBody>
    </xdr:sp>
    <xdr:clientData/>
  </xdr:twoCellAnchor>
  <xdr:twoCellAnchor>
    <xdr:from>
      <xdr:col>0</xdr:col>
      <xdr:colOff>188493</xdr:colOff>
      <xdr:row>554</xdr:row>
      <xdr:rowOff>143219</xdr:rowOff>
    </xdr:from>
    <xdr:to>
      <xdr:col>7</xdr:col>
      <xdr:colOff>2797660</xdr:colOff>
      <xdr:row>595</xdr:row>
      <xdr:rowOff>67235</xdr:rowOff>
    </xdr:to>
    <xdr:sp macro="" textlink="">
      <xdr:nvSpPr>
        <xdr:cNvPr id="7" name="TextBox 6">
          <a:extLst>
            <a:ext uri="{FF2B5EF4-FFF2-40B4-BE49-F238E27FC236}">
              <a16:creationId xmlns:a16="http://schemas.microsoft.com/office/drawing/2014/main" id="{9E19DE0A-EA10-4454-9F61-656D0758F23B}"/>
            </a:ext>
          </a:extLst>
        </xdr:cNvPr>
        <xdr:cNvSpPr txBox="1"/>
      </xdr:nvSpPr>
      <xdr:spPr>
        <a:xfrm>
          <a:off x="188493" y="102273631"/>
          <a:ext cx="9478373" cy="77345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t>SOIL/ALLUVIUM</a:t>
          </a:r>
          <a:r>
            <a:rPr lang="en-US" b="1" baseline="0"/>
            <a:t> PLACEMENT:</a:t>
          </a:r>
          <a:br>
            <a:rPr lang="en-US" b="1"/>
          </a:br>
          <a:br>
            <a:rPr lang="en-US" b="1"/>
          </a:br>
          <a:r>
            <a:rPr lang="en-US" b="1"/>
            <a:t>2023 Reclamation</a:t>
          </a:r>
          <a:r>
            <a:rPr lang="en-US" b="1" baseline="0"/>
            <a:t> Plan Citations:</a:t>
          </a:r>
        </a:p>
        <a:p>
          <a:r>
            <a:rPr lang="en-US" baseline="0"/>
            <a:t>(Section 5.0) "</a:t>
          </a:r>
          <a:r>
            <a:rPr lang="en-US" sz="1100" b="0" i="0" u="none" strike="noStrike" baseline="0">
              <a:solidFill>
                <a:schemeClr val="dk1"/>
              </a:solidFill>
              <a:latin typeface="+mn-lt"/>
              <a:ea typeface="+mn-ea"/>
              <a:cs typeface="+mn-cs"/>
            </a:rPr>
            <a:t>Where indicated by testing (Section 10.3), MR would utilize lime, organic matter, and/or fertilizer to create a suitable plant growth material (82-4-303(28)(c), MCA)."</a:t>
          </a:r>
        </a:p>
        <a:p>
          <a:r>
            <a:rPr lang="en-US" baseline="0"/>
            <a:t>(Section 10.3) "</a:t>
          </a:r>
          <a:r>
            <a:rPr lang="en-US" sz="1100" b="0" i="0" u="none" strike="noStrike" baseline="0">
              <a:solidFill>
                <a:schemeClr val="dk1"/>
              </a:solidFill>
              <a:latin typeface="+mn-lt"/>
              <a:ea typeface="+mn-ea"/>
              <a:cs typeface="+mn-cs"/>
            </a:rPr>
            <a:t>The majority of coversoil to be used for reclamation will be mined in the CZABA. This material has recently been evaluated for suitability." </a:t>
          </a:r>
        </a:p>
        <a:p>
          <a:r>
            <a:rPr lang="en-US" sz="1100" b="0" i="0" u="none" strike="noStrike" baseline="0">
              <a:solidFill>
                <a:schemeClr val="dk1"/>
              </a:solidFill>
              <a:latin typeface="+mn-lt"/>
              <a:ea typeface="+mn-ea"/>
              <a:cs typeface="+mn-cs"/>
            </a:rPr>
            <a:t>(Section 4.2) </a:t>
          </a:r>
          <a:r>
            <a:rPr lang="en-US" baseline="0"/>
            <a:t>"</a:t>
          </a:r>
          <a:r>
            <a:rPr lang="en-US" sz="1100" b="0" i="0" u="none" strike="noStrike" baseline="0">
              <a:solidFill>
                <a:schemeClr val="dk1"/>
              </a:solidFill>
              <a:latin typeface="+mn-lt"/>
              <a:ea typeface="+mn-ea"/>
              <a:cs typeface="+mn-cs"/>
            </a:rPr>
            <a:t>A 2018-2021 evaluation of quantity and quality of alluvium was completed to assess this resource (Czehura 2021). The evaluation included drilling and sampling 30 holes in the Central Zone and incorporated results from previous investigations. Characteristics of the alluvium deposit were identified using laboratory data from 846 composite samples taken at 10-foot intervals. The average texture ranges from sandy clay loam to loamy sand, with a mean coarse fragment content of 25 percent. The mean paste pH is 6.52 standard units (s.u.). Total sulfur averages 0.29 percent with a median value of 0.23 percent." </a:t>
          </a:r>
          <a:r>
            <a:rPr lang="en-US" sz="1100" baseline="0">
              <a:solidFill>
                <a:schemeClr val="dk1"/>
              </a:solidFill>
              <a:effectLst/>
              <a:latin typeface="+mn-lt"/>
              <a:ea typeface="+mn-ea"/>
              <a:cs typeface="+mn-cs"/>
            </a:rPr>
            <a:t>(Section 4.2) </a:t>
          </a:r>
          <a:br>
            <a:rPr lang="en-US" sz="1100" baseline="0">
              <a:solidFill>
                <a:schemeClr val="dk1"/>
              </a:solidFill>
              <a:effectLst/>
              <a:latin typeface="+mn-lt"/>
              <a:ea typeface="+mn-ea"/>
              <a:cs typeface="+mn-cs"/>
            </a:rPr>
          </a:b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4.2.1 </a:t>
          </a:r>
          <a:r>
            <a:rPr lang="en-US" sz="1100" b="1" i="0" u="none" strike="noStrike" baseline="0">
              <a:solidFill>
                <a:schemeClr val="dk1"/>
              </a:solidFill>
              <a:latin typeface="+mn-lt"/>
              <a:ea typeface="+mn-ea"/>
              <a:cs typeface="+mn-cs"/>
            </a:rPr>
            <a:t>Alluvium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Central Zone alluvium is the primary coversoil resource at the mine. A 2018-2021 evaluation of quantity and quality of alluvium was completed to assess this resource (Czehura 2021). </a:t>
          </a:r>
        </a:p>
        <a:p>
          <a:r>
            <a:rPr lang="en-US" sz="1100" b="0" i="0" u="none" strike="noStrike" baseline="0">
              <a:solidFill>
                <a:schemeClr val="dk1"/>
              </a:solidFill>
              <a:latin typeface="+mn-lt"/>
              <a:ea typeface="+mn-ea"/>
              <a:cs typeface="+mn-cs"/>
            </a:rPr>
            <a:t>The evaluation included drilling and sampling 30 holes in the Central Zone and incorporated results from previous investigations. </a:t>
          </a:r>
          <a:r>
            <a:rPr lang="en-US" sz="1100" b="1" i="0" u="none" strike="noStrike" baseline="0">
              <a:solidFill>
                <a:schemeClr val="dk1"/>
              </a:solidFill>
              <a:latin typeface="+mn-lt"/>
              <a:ea typeface="+mn-ea"/>
              <a:cs typeface="+mn-cs"/>
            </a:rPr>
            <a:t>During salvage operations, MR systematically samples and analyzes alluvial materials; those materials determined to be suitable for reclamation are stockpiled or used during concurrent reclamation. Alluvium not suitable for reclamation is discarded in the South Continental Pit RDS</a:t>
          </a:r>
          <a:r>
            <a:rPr lang="en-US" sz="1100" b="0" i="0" u="none" strike="noStrike" baseline="0">
              <a:solidFill>
                <a:schemeClr val="dk1"/>
              </a:solidFill>
              <a:latin typeface="+mn-lt"/>
              <a:ea typeface="+mn-ea"/>
              <a:cs typeface="+mn-cs"/>
            </a:rPr>
            <a:t>. If suitable alluvium for reclamation is in short supply, less favorable alluvium is stockpiled separately and amended with lime during redistribution. When possible, salvaged alluvium is direct-hauled from the CZABA and used as subsoil/soil for reclamation. Quantities of alluvium stored in the Lunch Room and Four Corners alluvium stockpiles are documented in MR’s Annual Reports (2014-2021). </a:t>
          </a:r>
          <a:br>
            <a:rPr lang="en-US" sz="1100" baseline="0">
              <a:solidFill>
                <a:schemeClr val="dk1"/>
              </a:solidFill>
              <a:effectLst/>
              <a:latin typeface="+mn-lt"/>
              <a:ea typeface="+mn-ea"/>
              <a:cs typeface="+mn-cs"/>
            </a:rPr>
          </a:br>
          <a:br>
            <a:rPr lang="en-US" sz="1100" baseline="0">
              <a:solidFill>
                <a:schemeClr val="dk1"/>
              </a:solidFill>
              <a:effectLst/>
              <a:latin typeface="+mn-lt"/>
              <a:ea typeface="+mn-ea"/>
              <a:cs typeface="+mn-cs"/>
            </a:rPr>
          </a:br>
          <a:r>
            <a:rPr lang="en-US" sz="1100" baseline="0">
              <a:solidFill>
                <a:schemeClr val="dk1"/>
              </a:solidFill>
              <a:effectLst/>
              <a:latin typeface="+mn-lt"/>
              <a:ea typeface="+mn-ea"/>
              <a:cs typeface="+mn-cs"/>
            </a:rPr>
            <a:t>4.2.3 </a:t>
          </a:r>
          <a:r>
            <a:rPr lang="en-US" sz="1100" b="1" i="0" u="none" strike="noStrike" baseline="0">
              <a:solidFill>
                <a:schemeClr val="dk1"/>
              </a:solidFill>
              <a:latin typeface="+mn-lt"/>
              <a:ea typeface="+mn-ea"/>
              <a:cs typeface="+mn-cs"/>
            </a:rPr>
            <a:t>Topsoil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Topsoil and subsoil salvage has been limited within the mine boundary because most of the active mine area was developed prior to soil salvage guidelines and regulations. Therefore, recent and future soil salvage will generally be limited to areas surrounding the YDTI.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baseline="0">
              <a:solidFill>
                <a:schemeClr val="dk1"/>
              </a:solidFill>
              <a:effectLst/>
              <a:latin typeface="+mn-lt"/>
              <a:ea typeface="+mn-ea"/>
              <a:cs typeface="+mn-cs"/>
            </a:rPr>
            <a:t>4.3 Coversoil Balance</a:t>
          </a:r>
          <a:endParaRPr lang="en-US">
            <a:effectLst/>
          </a:endParaRPr>
        </a:p>
        <a:p>
          <a:r>
            <a:rPr lang="en-US" sz="1100" b="1" i="0" baseline="0">
              <a:solidFill>
                <a:schemeClr val="dk1"/>
              </a:solidFill>
              <a:effectLst/>
              <a:latin typeface="+mn-lt"/>
              <a:ea typeface="+mn-ea"/>
              <a:cs typeface="+mn-cs"/>
            </a:rPr>
            <a:t>The CZABA pit design would produce about 23 million loose cubic yards of suitable alluvium (Table RP-4-6). </a:t>
          </a:r>
          <a:r>
            <a:rPr lang="en-US" sz="1100" b="0" i="0" baseline="0">
              <a:solidFill>
                <a:schemeClr val="dk1"/>
              </a:solidFill>
              <a:effectLst/>
              <a:latin typeface="+mn-lt"/>
              <a:ea typeface="+mn-ea"/>
              <a:cs typeface="+mn-cs"/>
            </a:rPr>
            <a:t>This conservative design exceeds the estimated volume of about 11 million loose cubic yards needed for reclamation (Table RP-4-7) by a factor of 2, demonstrating that a more than adequate volume of suitable alluvium is available to reclaim the mine. Final volumes of alluvium needed for reclamation and a corresponding mine plan for the borrow area would be developed at closure. </a:t>
          </a:r>
          <a:endParaRPr lang="en-US">
            <a:effectLst/>
          </a:endParaRPr>
        </a:p>
        <a:p>
          <a:br>
            <a:rPr lang="en-US" sz="1100" b="0" i="0" u="none" strike="noStrike" baseline="0">
              <a:solidFill>
                <a:schemeClr val="dk1"/>
              </a:solidFill>
              <a:latin typeface="+mn-lt"/>
              <a:ea typeface="+mn-ea"/>
              <a:cs typeface="+mn-cs"/>
            </a:rPr>
          </a:br>
          <a:r>
            <a:rPr lang="en-US" sz="1100" b="1" i="0" baseline="0">
              <a:solidFill>
                <a:schemeClr val="dk1"/>
              </a:solidFill>
              <a:effectLst/>
              <a:latin typeface="+mn-lt"/>
              <a:ea typeface="+mn-ea"/>
              <a:cs typeface="+mn-cs"/>
            </a:rPr>
            <a:t>4.4 COVERSOIL DEPTHS </a:t>
          </a:r>
          <a:endParaRPr lang="en-US">
            <a:effectLst/>
          </a:endParaRPr>
        </a:p>
        <a:p>
          <a:pPr eaLnBrk="1" fontAlgn="auto" latinLnBrk="0" hangingPunct="1"/>
          <a:r>
            <a:rPr lang="en-US" sz="1100" b="0" i="0" baseline="0">
              <a:solidFill>
                <a:schemeClr val="dk1"/>
              </a:solidFill>
              <a:effectLst/>
              <a:latin typeface="+mn-lt"/>
              <a:ea typeface="+mn-ea"/>
              <a:cs typeface="+mn-cs"/>
            </a:rPr>
            <a:t>The previous slope category of &gt; 37 percent with 36 inches of coversoil on slopes has been combined with the ≥ 5 percent category. The installation of benches at intervals along steeper slopes would reduce erosion potential and negate the need for the deeper application of coversoil on slopes steeper than 37 percent. The depth of alluvium or leached cap would vary based on topsoil redistribution depth to achieve a total of 28” for slopes &lt; 5 percent and 20” for slopes ≥ 5 percent.</a:t>
          </a:r>
          <a:endParaRPr lang="en-US">
            <a:effectLst/>
          </a:endParaRPr>
        </a:p>
        <a:p>
          <a:r>
            <a:rPr lang="en-US" sz="1100" b="1" i="0">
              <a:solidFill>
                <a:schemeClr val="dk1"/>
              </a:solidFill>
              <a:effectLst/>
              <a:latin typeface="+mn-lt"/>
              <a:ea typeface="+mn-ea"/>
              <a:cs typeface="+mn-cs"/>
            </a:rPr>
            <a:t>Slope &lt; 5%</a:t>
          </a:r>
          <a:r>
            <a:rPr lang="en-US" sz="1100" b="1">
              <a:solidFill>
                <a:schemeClr val="dk1"/>
              </a:solidFill>
              <a:effectLst/>
              <a:latin typeface="+mn-lt"/>
              <a:ea typeface="+mn-ea"/>
              <a:cs typeface="+mn-cs"/>
            </a:rPr>
            <a:t> : 28 inches of alluvium or 22 inches alluvium</a:t>
          </a:r>
          <a:r>
            <a:rPr lang="en-US" sz="1100" b="1" baseline="0">
              <a:solidFill>
                <a:schemeClr val="dk1"/>
              </a:solidFill>
              <a:effectLst/>
              <a:latin typeface="+mn-lt"/>
              <a:ea typeface="+mn-ea"/>
              <a:cs typeface="+mn-cs"/>
            </a:rPr>
            <a:t> + 6 inches of topsoil</a:t>
          </a:r>
          <a:endParaRPr lang="en-US" b="1">
            <a:effectLst/>
          </a:endParaRPr>
        </a:p>
        <a:p>
          <a:pPr eaLnBrk="1" fontAlgn="auto" latinLnBrk="0" hangingPunct="1"/>
          <a:r>
            <a:rPr lang="en-US" sz="1100" b="1" i="0" baseline="0">
              <a:solidFill>
                <a:schemeClr val="dk1"/>
              </a:solidFill>
              <a:effectLst/>
              <a:latin typeface="+mn-lt"/>
              <a:ea typeface="+mn-ea"/>
              <a:cs typeface="+mn-cs"/>
            </a:rPr>
            <a:t>Slope </a:t>
          </a:r>
          <a:r>
            <a:rPr lang="en-US" sz="1100" b="1" i="0">
              <a:solidFill>
                <a:schemeClr val="dk1"/>
              </a:solidFill>
              <a:effectLst/>
              <a:latin typeface="+mn-lt"/>
              <a:ea typeface="+mn-ea"/>
              <a:cs typeface="+mn-cs"/>
            </a:rPr>
            <a:t>≥ 5%:  20</a:t>
          </a:r>
          <a:r>
            <a:rPr lang="en-US" sz="1100" b="1">
              <a:solidFill>
                <a:schemeClr val="dk1"/>
              </a:solidFill>
              <a:effectLst/>
              <a:latin typeface="+mn-lt"/>
              <a:ea typeface="+mn-ea"/>
              <a:cs typeface="+mn-cs"/>
            </a:rPr>
            <a:t> inches of alluvium or 14 inches alluvium</a:t>
          </a:r>
          <a:r>
            <a:rPr lang="en-US" sz="1100" b="1" baseline="0">
              <a:solidFill>
                <a:schemeClr val="dk1"/>
              </a:solidFill>
              <a:effectLst/>
              <a:latin typeface="+mn-lt"/>
              <a:ea typeface="+mn-ea"/>
              <a:cs typeface="+mn-cs"/>
            </a:rPr>
            <a:t> + 6 inches of topsoil</a:t>
          </a:r>
          <a:endParaRPr lang="en-US" b="1">
            <a:effectLst/>
          </a:endParaRPr>
        </a:p>
        <a:p>
          <a:br>
            <a:rPr lang="en-US" sz="1100" b="0" i="0" baseline="0">
              <a:solidFill>
                <a:schemeClr val="dk1"/>
              </a:solidFill>
              <a:effectLst/>
              <a:latin typeface="+mn-lt"/>
              <a:ea typeface="+mn-ea"/>
              <a:cs typeface="+mn-cs"/>
            </a:rPr>
          </a:br>
          <a:r>
            <a:rPr lang="en-US" sz="1100" b="1" i="0" baseline="0">
              <a:solidFill>
                <a:schemeClr val="dk1"/>
              </a:solidFill>
              <a:effectLst/>
              <a:latin typeface="+mn-lt"/>
              <a:ea typeface="+mn-ea"/>
              <a:cs typeface="+mn-cs"/>
            </a:rPr>
            <a:t>4.5 DECOMPACTION </a:t>
          </a:r>
          <a:endParaRPr lang="en-US">
            <a:effectLst/>
          </a:endParaRPr>
        </a:p>
        <a:p>
          <a:r>
            <a:rPr lang="en-US" sz="1100" b="0" i="0" baseline="0">
              <a:solidFill>
                <a:schemeClr val="dk1"/>
              </a:solidFill>
              <a:effectLst/>
              <a:latin typeface="+mn-lt"/>
              <a:ea typeface="+mn-ea"/>
              <a:cs typeface="+mn-cs"/>
            </a:rPr>
            <a:t>During soil handling operations, efforts would be made to minimize compaction. Following grading and prior to capping material application, ripping would be performed as needed to relieve compaction utilizing ripper shanks behind a dozer or motor grader. On slopes that are steeper than 33 percent, the surface would be left in a roughened condition. If needed, compacted surfaces including rock disposal sites and, following their removal, soil and alluvium stockpile sites, would be ripped.</a:t>
          </a:r>
          <a:endParaRPr lang="en-US" sz="1100" b="0" i="0" u="none" strike="noStrike" baseline="0">
            <a:solidFill>
              <a:schemeClr val="dk1"/>
            </a:solidFill>
            <a:latin typeface="+mn-lt"/>
            <a:ea typeface="+mn-ea"/>
            <a:cs typeface="+mn-cs"/>
          </a:endParaRPr>
        </a:p>
      </xdr:txBody>
    </xdr:sp>
    <xdr:clientData/>
  </xdr:twoCellAnchor>
  <xdr:twoCellAnchor>
    <xdr:from>
      <xdr:col>0</xdr:col>
      <xdr:colOff>207264</xdr:colOff>
      <xdr:row>596</xdr:row>
      <xdr:rowOff>773</xdr:rowOff>
    </xdr:from>
    <xdr:to>
      <xdr:col>7</xdr:col>
      <xdr:colOff>2797660</xdr:colOff>
      <xdr:row>633</xdr:row>
      <xdr:rowOff>134470</xdr:rowOff>
    </xdr:to>
    <xdr:sp macro="" textlink="">
      <xdr:nvSpPr>
        <xdr:cNvPr id="8" name="TextBox 7">
          <a:extLst>
            <a:ext uri="{FF2B5EF4-FFF2-40B4-BE49-F238E27FC236}">
              <a16:creationId xmlns:a16="http://schemas.microsoft.com/office/drawing/2014/main" id="{7A9DDD90-9832-4682-8761-9E11EB83962B}"/>
            </a:ext>
          </a:extLst>
        </xdr:cNvPr>
        <xdr:cNvSpPr txBox="1"/>
      </xdr:nvSpPr>
      <xdr:spPr>
        <a:xfrm>
          <a:off x="207264" y="110132185"/>
          <a:ext cx="9459602" cy="71821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5.1 LIME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Alluvium to be used for coversoil would be suitable as a plant growth material without the addition of lime. Modeling of the CZABA shows an average pH of 6.6 for material to be used for reclamation (see Section 4.2.1). Material with a pH below 5.5 is considered waste. Alluvium sampling would identify unsuitable material.</a:t>
          </a:r>
        </a:p>
        <a:p>
          <a:r>
            <a:rPr lang="en-US" sz="1100" b="0" i="0" baseline="0">
              <a:solidFill>
                <a:schemeClr val="dk1"/>
              </a:solidFill>
              <a:effectLst/>
              <a:latin typeface="+mn-lt"/>
              <a:ea typeface="+mn-ea"/>
              <a:cs typeface="+mn-cs"/>
            </a:rPr>
            <a:t>If monitoring identifies any areas where pH is below 5.5 in respread coversoil, lime will be applied at appropriate rates to raise the pH to about 6.0. Lime would be incorporated to a depth of about 18 inches. </a:t>
          </a:r>
          <a:endParaRPr lang="en-US" sz="1100" b="0" i="0" u="none" strike="noStrike" baseline="0">
            <a:solidFill>
              <a:schemeClr val="dk1"/>
            </a:solidFill>
            <a:latin typeface="+mn-lt"/>
            <a:ea typeface="+mn-ea"/>
            <a:cs typeface="+mn-cs"/>
          </a:endParaRP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Reclaimed areas of the East RDS Complex monitored in 2021 had an average pH of 6.8 in the upper 9 inches of coversoil and an average pH of 7.0 throughout all soil horizons sampled, with perennial grass cover ranging from 30 to 46 percent (WESTECH 2022). A few small “hot spots” on the older reclaimed Hillcrest RDS had lower pH and low vegetation cover. Monitoring sites where both soils and vegetation were sampled in 2022 included older reclamation (1991-2014) associated with mine facilities, including the Berkeley Pit perimeter, Concentrator, Primary Crusher, Powerline Road, Woodville area, and other miscellaneous sites. Coversoil in the upper 8 inches in these areas had an average pH of 7.2. Throughout all soil horizons sampled (upper 17 inches), coversoil had an average pH of 7.1. Perennial grass cover varied from 40 to 62 percent (WESTECH 2023).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5.2 ORGANIC MATTER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Previous reclamation specifications for the mine had assumed that, where topsoil is not spread, organic matter would be applied and incorporated into alluvium or leached cap coversoil. The assumption was based on a Minor Revision (MR 02-001) for 2002 reclamation of the Woodville RDS. MR does not propose to implement the Woodville RDS specification mine wide. </a:t>
          </a:r>
        </a:p>
        <a:p>
          <a:r>
            <a:rPr lang="en-US" sz="1100" b="0" i="0" u="none" strike="noStrike" baseline="0">
              <a:solidFill>
                <a:schemeClr val="dk1"/>
              </a:solidFill>
              <a:latin typeface="+mn-lt"/>
              <a:ea typeface="+mn-ea"/>
              <a:cs typeface="+mn-cs"/>
            </a:rPr>
            <a:t>Research into the need for, and use of, organic amendments for reclamation indicates that specific organic content may not be necessary for successful reclamation. Organic content is one component of growth material suitability but may not be necessary for reclamation success (Prodgers 2013). Other studies have identified the sensitivity of some soils to organic soil amendments by which the addition of certain types of amendments can result in decreased permanent vegetation due to unsustainable nutrient cycles (Larney &amp; Angers 2011).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potential use of organic amendments is determined by factors such as texture, nutrient content, and desired vegetation. MR has recently conducted on-site reclamation monitoring to evaluate characteristics of coversoil materials and vegetation response at previously reclaimed mine areas. Results indicate that there is no statistically significant difference in the cover of perennial grasses at sites with 1.5% organic matter compared to sites with 0.5% or less organic matter (WESTECH 2022 and 2023). The comparable vegetation response between various soil organic matter content groupings indicates that thresholds for soil organic content are not reliable predictors of revegetation.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Although certain levels of organic matter content may not be necessary for reclamation success, organic materials can be advantageous for initial establishment of vegetation at certain sites. Sites that may present challenging conditions for vegetation establishment include south-facing and/or steep slopes, or areas where soil crusting is present. Conditions at such sites could be mitigated through the application of organic matter. At sites with lower reclamation potential, organic matter applications at a rate up to 0.5% by volume could be incorporated into the upper 6 inches of coversoil. </a:t>
          </a:r>
        </a:p>
        <a:p>
          <a:r>
            <a:rPr lang="en-US" sz="1100" b="0" i="0" u="none" strike="noStrike" baseline="0">
              <a:solidFill>
                <a:schemeClr val="dk1"/>
              </a:solidFill>
              <a:latin typeface="+mn-lt"/>
              <a:ea typeface="+mn-ea"/>
              <a:cs typeface="+mn-cs"/>
            </a:rPr>
            <a:t>Organic matter amendments could include straw or alfalfa mulch, which may also be applied for erosion control or to mitigate soil crusting on some sites (see Section 7.0). If soil crusting adversely affects vegetation establishment, MR could implement mechanical measures including rotary hoeing, harrowing, or discing. When possible, seeding will be conducted promptly after coversoil spreading to reduce the potential for precipitation to cause soil crusting. Organic compost is currently being stockpiled in the McQueen area and on the West Embankment (Figure RP-4-4) and could be utilized if amendment is necessary during reclamation. Other commercially available sources for compost will be identified for future potential use.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5.3 FERTILIZER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use of organic or inorganic fertilizer may be indicated based on testing. When it has been used, MR has typically applied a compound inorganic fertilizer (N-P-K (16-16-16)). </a:t>
          </a:r>
          <a:endParaRPr lang="en-US" sz="1100"/>
        </a:p>
      </xdr:txBody>
    </xdr:sp>
    <xdr:clientData/>
  </xdr:twoCellAnchor>
  <xdr:twoCellAnchor editAs="oneCell">
    <xdr:from>
      <xdr:col>0</xdr:col>
      <xdr:colOff>269334</xdr:colOff>
      <xdr:row>650</xdr:row>
      <xdr:rowOff>92331</xdr:rowOff>
    </xdr:from>
    <xdr:to>
      <xdr:col>5</xdr:col>
      <xdr:colOff>759562</xdr:colOff>
      <xdr:row>667</xdr:row>
      <xdr:rowOff>168693</xdr:rowOff>
    </xdr:to>
    <xdr:pic>
      <xdr:nvPicPr>
        <xdr:cNvPr id="16" name="Picture 15">
          <a:extLst>
            <a:ext uri="{FF2B5EF4-FFF2-40B4-BE49-F238E27FC236}">
              <a16:creationId xmlns:a16="http://schemas.microsoft.com/office/drawing/2014/main" id="{BEA1E6B5-85B0-4A59-85C9-26EBEF1AC08D}"/>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269334" y="120510743"/>
          <a:ext cx="5544081" cy="3307242"/>
        </a:xfrm>
        <a:prstGeom prst="rect">
          <a:avLst/>
        </a:prstGeom>
        <a:ln>
          <a:solidFill>
            <a:schemeClr val="tx1"/>
          </a:solidFill>
        </a:ln>
      </xdr:spPr>
    </xdr:pic>
    <xdr:clientData/>
  </xdr:twoCellAnchor>
  <xdr:twoCellAnchor>
    <xdr:from>
      <xdr:col>0</xdr:col>
      <xdr:colOff>230218</xdr:colOff>
      <xdr:row>634</xdr:row>
      <xdr:rowOff>76645</xdr:rowOff>
    </xdr:from>
    <xdr:to>
      <xdr:col>7</xdr:col>
      <xdr:colOff>2797659</xdr:colOff>
      <xdr:row>649</xdr:row>
      <xdr:rowOff>89647</xdr:rowOff>
    </xdr:to>
    <xdr:sp macro="" textlink="">
      <xdr:nvSpPr>
        <xdr:cNvPr id="17" name="TextBox 16">
          <a:extLst>
            <a:ext uri="{FF2B5EF4-FFF2-40B4-BE49-F238E27FC236}">
              <a16:creationId xmlns:a16="http://schemas.microsoft.com/office/drawing/2014/main" id="{B10E3D72-2FE0-4436-A794-37A8275D76AA}"/>
            </a:ext>
          </a:extLst>
        </xdr:cNvPr>
        <xdr:cNvSpPr txBox="1"/>
      </xdr:nvSpPr>
      <xdr:spPr>
        <a:xfrm>
          <a:off x="230218" y="117447057"/>
          <a:ext cx="9436647" cy="28705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Revision 25-001, 3/20 Reply:</a:t>
          </a:r>
        </a:p>
        <a:p>
          <a:r>
            <a:rPr lang="en-US" sz="1100" b="0" i="0" u="sng" strike="noStrike" baseline="0">
              <a:solidFill>
                <a:schemeClr val="dk1"/>
              </a:solidFill>
              <a:latin typeface="+mn-lt"/>
              <a:ea typeface="+mn-ea"/>
              <a:cs typeface="+mn-cs"/>
            </a:rPr>
            <a:t>Long Term Monitoring Sites:</a:t>
          </a:r>
        </a:p>
        <a:p>
          <a:r>
            <a:rPr lang="en-US" sz="1100" b="0" i="0" u="none" strike="noStrike" baseline="0">
              <a:solidFill>
                <a:schemeClr val="dk1"/>
              </a:solidFill>
              <a:latin typeface="+mn-lt"/>
              <a:ea typeface="+mn-ea"/>
              <a:cs typeface="+mn-cs"/>
            </a:rPr>
            <a:t>Post-Closure Topography and Grading: Grade drill pads to blend with adjacent topography.</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Coversoil: Sites in previously undisturbed ground: none if topsoil still intact; </a:t>
          </a:r>
          <a:r>
            <a:rPr lang="en-US" sz="1100" b="1" i="0" u="none" strike="noStrike" baseline="0">
              <a:solidFill>
                <a:schemeClr val="dk1"/>
              </a:solidFill>
              <a:latin typeface="+mn-lt"/>
              <a:ea typeface="+mn-ea"/>
              <a:cs typeface="+mn-cs"/>
            </a:rPr>
            <a:t>6 inches of topsoil if topsoil previously removed</a:t>
          </a:r>
          <a:r>
            <a:rPr lang="en-US" sz="1100" b="0" i="0" u="none" strike="noStrike" baseline="0">
              <a:solidFill>
                <a:schemeClr val="dk1"/>
              </a:solidFill>
              <a:latin typeface="+mn-lt"/>
              <a:ea typeface="+mn-ea"/>
              <a:cs typeface="+mn-cs"/>
            </a:rPr>
            <a:t>. Sites in mine: none if topsoil still intact; otherwise depth of coversoil to be consistent with adjacent area.</a:t>
          </a:r>
        </a:p>
        <a:p>
          <a:r>
            <a:rPr lang="en-US" sz="1100" b="0" i="0" u="none" strike="noStrike" baseline="0">
              <a:solidFill>
                <a:schemeClr val="dk1"/>
              </a:solidFill>
              <a:latin typeface="+mn-lt"/>
              <a:ea typeface="+mn-ea"/>
              <a:cs typeface="+mn-cs"/>
            </a:rPr>
            <a:t>Decompaction: </a:t>
          </a:r>
          <a:r>
            <a:rPr lang="en-US" sz="1100" b="1" i="0" u="none" strike="noStrike" baseline="0">
              <a:solidFill>
                <a:schemeClr val="dk1"/>
              </a:solidFill>
              <a:latin typeface="+mn-lt"/>
              <a:ea typeface="+mn-ea"/>
              <a:cs typeface="+mn-cs"/>
            </a:rPr>
            <a:t>Rip or harrow (depending on degree of compaction) pads and road surfaces</a:t>
          </a:r>
          <a:r>
            <a:rPr lang="en-US" sz="1100" b="0" i="0" u="none" strike="noStrike" baseline="0">
              <a:solidFill>
                <a:schemeClr val="dk1"/>
              </a:solidFill>
              <a:latin typeface="+mn-lt"/>
              <a:ea typeface="+mn-ea"/>
              <a:cs typeface="+mn-cs"/>
            </a:rPr>
            <a:t>.</a:t>
          </a:r>
        </a:p>
        <a:p>
          <a:r>
            <a:rPr lang="en-US" sz="1100" b="0" i="0" u="none" strike="noStrike" baseline="0">
              <a:solidFill>
                <a:schemeClr val="dk1"/>
              </a:solidFill>
              <a:latin typeface="+mn-lt"/>
              <a:ea typeface="+mn-ea"/>
              <a:cs typeface="+mn-cs"/>
            </a:rPr>
            <a:t>Seedbed Preparation: </a:t>
          </a:r>
          <a:r>
            <a:rPr lang="en-US" sz="1100" b="1" i="0" u="none" strike="noStrike" baseline="0">
              <a:solidFill>
                <a:schemeClr val="dk1"/>
              </a:solidFill>
              <a:latin typeface="+mn-lt"/>
              <a:ea typeface="+mn-ea"/>
              <a:cs typeface="+mn-cs"/>
            </a:rPr>
            <a:t>Seedbed to be firm but not compacted.</a:t>
          </a:r>
        </a:p>
        <a:p>
          <a:r>
            <a:rPr lang="en-US" sz="1100" b="0" i="0" u="none" strike="noStrike" baseline="0">
              <a:solidFill>
                <a:schemeClr val="dk1"/>
              </a:solidFill>
              <a:latin typeface="+mn-lt"/>
              <a:ea typeface="+mn-ea"/>
              <a:cs typeface="+mn-cs"/>
            </a:rPr>
            <a:t>Seeding Method and Schedule: </a:t>
          </a:r>
          <a:r>
            <a:rPr lang="en-US" sz="1100" b="1" i="0" u="none" strike="noStrike" baseline="0">
              <a:solidFill>
                <a:schemeClr val="dk1"/>
              </a:solidFill>
              <a:latin typeface="+mn-lt"/>
              <a:ea typeface="+mn-ea"/>
              <a:cs typeface="+mn-cs"/>
            </a:rPr>
            <a:t>Broadcast smaller sites</a:t>
          </a:r>
          <a:r>
            <a:rPr lang="en-US" sz="1100" b="0" i="0" u="none" strike="noStrike" baseline="0">
              <a:solidFill>
                <a:schemeClr val="dk1"/>
              </a:solidFill>
              <a:latin typeface="+mn-lt"/>
              <a:ea typeface="+mn-ea"/>
              <a:cs typeface="+mn-cs"/>
            </a:rPr>
            <a:t>. Seed after 9/15 and before 6/15 unless erosion considerations necessitate off-season seeding.</a:t>
          </a:r>
        </a:p>
        <a:p>
          <a:r>
            <a:rPr lang="en-US" sz="1100" b="0" i="0" u="none" strike="noStrike" baseline="0">
              <a:solidFill>
                <a:schemeClr val="dk1"/>
              </a:solidFill>
              <a:latin typeface="+mn-lt"/>
              <a:ea typeface="+mn-ea"/>
              <a:cs typeface="+mn-cs"/>
            </a:rPr>
            <a:t>Additional: Install Kelly humps, rock barriers, woody debris or locked gates if necessary to control access. Plug holes with 5-10 feet of cement per ARM 17.24.106. Cut casing below ground level per ARM 17.24.107(2).</a:t>
          </a:r>
        </a:p>
        <a:p>
          <a:endParaRPr lang="en-US" sz="1100" b="0" i="0" u="none" strike="noStrike" baseline="0">
            <a:solidFill>
              <a:schemeClr val="dk1"/>
            </a:solidFill>
            <a:latin typeface="+mn-lt"/>
            <a:ea typeface="+mn-ea"/>
            <a:cs typeface="+mn-cs"/>
          </a:endParaRPr>
        </a:p>
        <a:p>
          <a:r>
            <a:rPr lang="en-US" sz="1100" b="0" i="0" u="sng" strike="noStrike" baseline="0">
              <a:solidFill>
                <a:schemeClr val="dk1"/>
              </a:solidFill>
              <a:latin typeface="+mn-lt"/>
              <a:ea typeface="+mn-ea"/>
              <a:cs typeface="+mn-cs"/>
            </a:rPr>
            <a:t>Support Facilities:</a:t>
          </a:r>
        </a:p>
        <a:p>
          <a:r>
            <a:rPr lang="en-US" sz="1100" b="0" i="0" u="none" strike="noStrike" baseline="0">
              <a:solidFill>
                <a:schemeClr val="dk1"/>
              </a:solidFill>
              <a:latin typeface="+mn-lt"/>
              <a:ea typeface="+mn-ea"/>
              <a:cs typeface="+mn-cs"/>
            </a:rPr>
            <a:t>Coversoil: Sites in previously undisturbed ground: none if topsoil still intact; </a:t>
          </a:r>
          <a:r>
            <a:rPr lang="en-US" sz="1100" b="1" i="0" u="none" strike="noStrike" baseline="0">
              <a:solidFill>
                <a:schemeClr val="dk1"/>
              </a:solidFill>
              <a:latin typeface="+mn-lt"/>
              <a:ea typeface="+mn-ea"/>
              <a:cs typeface="+mn-cs"/>
            </a:rPr>
            <a:t>6 inches of topsoil if topsoil previously removed.</a:t>
          </a:r>
        </a:p>
        <a:p>
          <a:r>
            <a:rPr lang="en-US" sz="1100" b="0" i="0" u="none" strike="noStrike" baseline="0">
              <a:solidFill>
                <a:schemeClr val="dk1"/>
              </a:solidFill>
              <a:latin typeface="+mn-lt"/>
              <a:ea typeface="+mn-ea"/>
              <a:cs typeface="+mn-cs"/>
            </a:rPr>
            <a:t>Sites in mine: none if topsoil still intact; otherwise depth of coversoil to be consistent with adjacent area (20 inches of alluvium if slope is ≥ 5 percent, or 28 inches of alluvium if slope is &lt;5 percent). If topsoil still intact, no coversoil required.</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endParaRPr lang="en-US" sz="1100"/>
        </a:p>
      </xdr:txBody>
    </xdr:sp>
    <xdr:clientData/>
  </xdr:twoCellAnchor>
  <xdr:twoCellAnchor editAs="oneCell">
    <xdr:from>
      <xdr:col>0</xdr:col>
      <xdr:colOff>277091</xdr:colOff>
      <xdr:row>235</xdr:row>
      <xdr:rowOff>124692</xdr:rowOff>
    </xdr:from>
    <xdr:to>
      <xdr:col>5</xdr:col>
      <xdr:colOff>631342</xdr:colOff>
      <xdr:row>263</xdr:row>
      <xdr:rowOff>93893</xdr:rowOff>
    </xdr:to>
    <xdr:pic>
      <xdr:nvPicPr>
        <xdr:cNvPr id="18" name="Picture 17">
          <a:extLst>
            <a:ext uri="{FF2B5EF4-FFF2-40B4-BE49-F238E27FC236}">
              <a16:creationId xmlns:a16="http://schemas.microsoft.com/office/drawing/2014/main" id="{8A74BE27-23F9-4BC1-9980-EFBE8C3C2B13}"/>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277091" y="13203383"/>
          <a:ext cx="5377216" cy="5025590"/>
        </a:xfrm>
        <a:prstGeom prst="rect">
          <a:avLst/>
        </a:prstGeom>
        <a:ln>
          <a:solidFill>
            <a:schemeClr val="tx1"/>
          </a:solidFill>
        </a:ln>
      </xdr:spPr>
    </xdr:pic>
    <xdr:clientData/>
  </xdr:twoCellAnchor>
  <xdr:twoCellAnchor editAs="oneCell">
    <xdr:from>
      <xdr:col>5</xdr:col>
      <xdr:colOff>749137</xdr:colOff>
      <xdr:row>235</xdr:row>
      <xdr:rowOff>152401</xdr:rowOff>
    </xdr:from>
    <xdr:to>
      <xdr:col>9</xdr:col>
      <xdr:colOff>727450</xdr:colOff>
      <xdr:row>268</xdr:row>
      <xdr:rowOff>95551</xdr:rowOff>
    </xdr:to>
    <xdr:pic>
      <xdr:nvPicPr>
        <xdr:cNvPr id="19" name="Picture 18">
          <a:extLst>
            <a:ext uri="{FF2B5EF4-FFF2-40B4-BE49-F238E27FC236}">
              <a16:creationId xmlns:a16="http://schemas.microsoft.com/office/drawing/2014/main" id="{9D294E4E-7557-4D10-A410-4A9087A411BD}"/>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5764482" y="13231092"/>
          <a:ext cx="5547841" cy="5877225"/>
        </a:xfrm>
        <a:prstGeom prst="rect">
          <a:avLst/>
        </a:prstGeom>
        <a:ln>
          <a:solidFill>
            <a:schemeClr val="tx1"/>
          </a:solidFill>
        </a:ln>
      </xdr:spPr>
    </xdr:pic>
    <xdr:clientData/>
  </xdr:twoCellAnchor>
  <xdr:twoCellAnchor>
    <xdr:from>
      <xdr:col>0</xdr:col>
      <xdr:colOff>270163</xdr:colOff>
      <xdr:row>268</xdr:row>
      <xdr:rowOff>179294</xdr:rowOff>
    </xdr:from>
    <xdr:to>
      <xdr:col>7</xdr:col>
      <xdr:colOff>1482436</xdr:colOff>
      <xdr:row>287</xdr:row>
      <xdr:rowOff>89647</xdr:rowOff>
    </xdr:to>
    <xdr:sp macro="" textlink="">
      <xdr:nvSpPr>
        <xdr:cNvPr id="20" name="TextBox 19">
          <a:extLst>
            <a:ext uri="{FF2B5EF4-FFF2-40B4-BE49-F238E27FC236}">
              <a16:creationId xmlns:a16="http://schemas.microsoft.com/office/drawing/2014/main" id="{74FC1CC2-F0C9-DA6E-D4AC-D7FB4C95200A}"/>
            </a:ext>
          </a:extLst>
        </xdr:cNvPr>
        <xdr:cNvSpPr txBox="1"/>
      </xdr:nvSpPr>
      <xdr:spPr>
        <a:xfrm>
          <a:off x="270163" y="19632706"/>
          <a:ext cx="7868567" cy="3529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Assumptions:</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The schedule in the Reclamation Plan reflects the required timelines for the permittee and their available equipment fleet and staffing.</a:t>
          </a:r>
          <a:endParaRPr lang="en-US">
            <a:effectLst/>
          </a:endParaRPr>
        </a:p>
        <a:p>
          <a:r>
            <a:rPr lang="en-US" sz="1100" b="0" i="0" baseline="0">
              <a:solidFill>
                <a:schemeClr val="dk1"/>
              </a:solidFill>
              <a:effectLst/>
              <a:latin typeface="+mn-lt"/>
              <a:ea typeface="+mn-ea"/>
              <a:cs typeface="+mn-cs"/>
            </a:rPr>
            <a:t>Following a hypothetical bankruptcy or permit revocation and bond forfeiture, DEQ assumes that at least 1 year will be needed to resolve bankruptcy conditions and/or obtain the bond. Reclamation will occur annually across the mine site during the initial years post-closure (assumed within 5 years from closure), followed by less frequent reclamation of the TSF transition zone as the pond recedes to an equilibrium volume/elevation. BMFOU water management and treatment would be ongoing throughout this time period, under the applicable requirements for the Remedy.</a:t>
          </a:r>
          <a:br>
            <a:rPr lang="en-US" sz="1100" b="0" i="0" baseline="0">
              <a:solidFill>
                <a:schemeClr val="dk1"/>
              </a:solidFill>
              <a:effectLst/>
              <a:latin typeface="+mn-lt"/>
              <a:ea typeface="+mn-ea"/>
              <a:cs typeface="+mn-cs"/>
            </a:rPr>
          </a:b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2019 EIS: For the TSF- "</a:t>
          </a:r>
          <a:r>
            <a:rPr lang="en-US" sz="1100" b="0" i="0" u="none" strike="noStrike" baseline="0">
              <a:solidFill>
                <a:schemeClr val="dk1"/>
              </a:solidFill>
              <a:latin typeface="+mn-lt"/>
              <a:ea typeface="+mn-ea"/>
              <a:cs typeface="+mn-cs"/>
            </a:rPr>
            <a:t>Reclamation would be accomplished incrementally over an estimated 40-year period following mine closure as the tailings water recedes, exposing more Transition Zone for reclamation until the pond volume reaches approximately 1,000 acre-feet at equilibrium."</a:t>
          </a:r>
          <a:br>
            <a:rPr lang="en-US" sz="1100" b="0" i="0" u="none" strike="noStrike" baseline="0">
              <a:solidFill>
                <a:schemeClr val="dk1"/>
              </a:solidFill>
              <a:latin typeface="+mn-lt"/>
              <a:ea typeface="+mn-ea"/>
              <a:cs typeface="+mn-cs"/>
            </a:rPr>
          </a:b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 Year 1 interim management and monitoring (legal process/obtain bond);</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 Years 2-5 implement major reclamation actions, site management and monitoring;</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 Years 6-33 incremental reclamation of TSF transition zone, post-closure site management and monitoring</a:t>
          </a:r>
          <a:br>
            <a:rPr lang="en-US" sz="1100" b="0" i="0" baseline="0">
              <a:solidFill>
                <a:schemeClr val="dk1"/>
              </a:solidFill>
              <a:effectLst/>
              <a:latin typeface="+mn-lt"/>
              <a:ea typeface="+mn-ea"/>
              <a:cs typeface="+mn-cs"/>
            </a:rPr>
          </a:b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Revegetation monitoring would occur annually for five years following initial seeding campaigns, then frequency would decrease to five year intervals until determining stable vegetation sucess to allow bond release/permit closure.</a:t>
          </a:r>
          <a:endParaRPr lang="en-US">
            <a:effectLst/>
          </a:endParaRPr>
        </a:p>
        <a:p>
          <a:endParaRPr lang="en-US" sz="1100"/>
        </a:p>
      </xdr:txBody>
    </xdr:sp>
    <xdr:clientData/>
  </xdr:twoCellAnchor>
  <xdr:twoCellAnchor>
    <xdr:from>
      <xdr:col>0</xdr:col>
      <xdr:colOff>166253</xdr:colOff>
      <xdr:row>779</xdr:row>
      <xdr:rowOff>83128</xdr:rowOff>
    </xdr:from>
    <xdr:to>
      <xdr:col>7</xdr:col>
      <xdr:colOff>2978727</xdr:colOff>
      <xdr:row>797</xdr:row>
      <xdr:rowOff>121227</xdr:rowOff>
    </xdr:to>
    <xdr:sp macro="" textlink="">
      <xdr:nvSpPr>
        <xdr:cNvPr id="21" name="TextBox 20">
          <a:extLst>
            <a:ext uri="{FF2B5EF4-FFF2-40B4-BE49-F238E27FC236}">
              <a16:creationId xmlns:a16="http://schemas.microsoft.com/office/drawing/2014/main" id="{C65E9F99-F9CC-449B-95E6-BA96D019ED54}"/>
            </a:ext>
          </a:extLst>
        </xdr:cNvPr>
        <xdr:cNvSpPr txBox="1"/>
      </xdr:nvSpPr>
      <xdr:spPr>
        <a:xfrm>
          <a:off x="166253" y="143927946"/>
          <a:ext cx="9497292" cy="3467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2023 Reclamation Plan: </a:t>
          </a:r>
          <a:br>
            <a:rPr lang="en-US" sz="1100" b="1"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10.2.5 Post-Closure Beach and Pond Management and Monitoring </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Post-closure pond management and monitoring will include: </a:t>
          </a:r>
        </a:p>
        <a:p>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a closure spillway to be constructed </a:t>
          </a:r>
          <a:r>
            <a:rPr lang="en-US" sz="1100" b="0" i="0" u="none" strike="noStrike" baseline="0">
              <a:solidFill>
                <a:schemeClr val="dk1"/>
              </a:solidFill>
              <a:latin typeface="+mn-lt"/>
              <a:ea typeface="+mn-ea"/>
              <a:cs typeface="+mn-cs"/>
            </a:rPr>
            <a:t>to limit the elevation and volume of the post-closure pond; </a:t>
          </a:r>
        </a:p>
        <a:p>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incremental reclamation of the transition zone </a:t>
          </a:r>
          <a:r>
            <a:rPr lang="en-US" sz="1100" b="0" i="0" u="none" strike="noStrike" baseline="0">
              <a:solidFill>
                <a:schemeClr val="dk1"/>
              </a:solidFill>
              <a:latin typeface="+mn-lt"/>
              <a:ea typeface="+mn-ea"/>
              <a:cs typeface="+mn-cs"/>
            </a:rPr>
            <a:t>as pond level recedes (see Section 8.1.3); </a:t>
          </a:r>
        </a:p>
        <a:p>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survey of beach for slope and settlement and repair as necessary </a:t>
          </a:r>
          <a:r>
            <a:rPr lang="en-US" sz="1100" b="0" i="0" u="none" strike="noStrike" baseline="0">
              <a:solidFill>
                <a:schemeClr val="dk1"/>
              </a:solidFill>
              <a:latin typeface="+mn-lt"/>
              <a:ea typeface="+mn-ea"/>
              <a:cs typeface="+mn-cs"/>
            </a:rPr>
            <a:t>(see Section 8.1.2, Section 10.2.2, and Section 10.3). Monitoring of reclaimed tailings will be conducted annually to verify elevations and cap thickness using civil survey and/or aerial mapping surveys with ground control (drones, LIDAR). If settling occurs it will be backfilled with coversoil and revegetated. </a:t>
          </a:r>
        </a:p>
        <a:p>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monitoring of pond level, pond volume, and pond water quality </a:t>
          </a:r>
          <a:r>
            <a:rPr lang="en-US" sz="1100" b="0" i="0" u="none" strike="noStrike" baseline="0">
              <a:solidFill>
                <a:schemeClr val="dk1"/>
              </a:solidFill>
              <a:latin typeface="+mn-lt"/>
              <a:ea typeface="+mn-ea"/>
              <a:cs typeface="+mn-cs"/>
            </a:rPr>
            <a:t>(see Section 8.1.3, Section 10.2.4, and Section 10.5); and </a:t>
          </a:r>
        </a:p>
        <a:p>
          <a:r>
            <a:rPr lang="en-US" sz="1100" b="0" i="0" u="none" strike="noStrike" baseline="0">
              <a:solidFill>
                <a:schemeClr val="dk1"/>
              </a:solidFill>
              <a:latin typeface="+mn-lt"/>
              <a:ea typeface="+mn-ea"/>
              <a:cs typeface="+mn-cs"/>
            </a:rPr>
            <a:t>• for the </a:t>
          </a:r>
          <a:r>
            <a:rPr lang="en-US" sz="1100" b="1" i="0" u="none" strike="noStrike" baseline="0">
              <a:solidFill>
                <a:schemeClr val="dk1"/>
              </a:solidFill>
              <a:latin typeface="+mn-lt"/>
              <a:ea typeface="+mn-ea"/>
              <a:cs typeface="+mn-cs"/>
            </a:rPr>
            <a:t>Probable Case model of post-closure pond water quality, water treatment is not anticipated since the pool would remain alkaline and metals would remain low </a:t>
          </a:r>
          <a:r>
            <a:rPr lang="en-US" sz="1100" b="0" i="0" u="none" strike="noStrike" baseline="0">
              <a:solidFill>
                <a:schemeClr val="dk1"/>
              </a:solidFill>
              <a:latin typeface="+mn-lt"/>
              <a:ea typeface="+mn-ea"/>
              <a:cs typeface="+mn-cs"/>
            </a:rPr>
            <a:t>(see Appendix C “Phase Two Mass Load Model of the Yankee Doodle Tailings Pond” in Amendment 10 (MR 2018)).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a:t>
          </a:r>
          <a:r>
            <a:rPr lang="en-US" sz="1100" b="1" i="0" u="none" strike="noStrike" baseline="0">
              <a:solidFill>
                <a:schemeClr val="dk1"/>
              </a:solidFill>
              <a:latin typeface="+mn-lt"/>
              <a:ea typeface="+mn-ea"/>
              <a:cs typeface="+mn-cs"/>
            </a:rPr>
            <a:t>For the Worst Case, the pool would gradually become slightly acidic after closure </a:t>
          </a:r>
          <a:r>
            <a:rPr lang="en-US" sz="1100" b="0" i="0" u="none" strike="noStrike" baseline="0">
              <a:solidFill>
                <a:schemeClr val="dk1"/>
              </a:solidFill>
              <a:latin typeface="+mn-lt"/>
              <a:ea typeface="+mn-ea"/>
              <a:cs typeface="+mn-cs"/>
            </a:rPr>
            <a:t>(net alkalinity of -200 mg/L and pH of 5.5 to 7.0), with iron of up to 36 mg/L and aluminum up to 16 mg/L. Sulfate would be around 1100 mg/L (TDS of 1800 mg/L) at closure and would gradually decline to less than 500 mg/L (TDS 1000 mg/L) around 30 years post-closure. </a:t>
          </a:r>
        </a:p>
        <a:p>
          <a:r>
            <a:rPr lang="en-US" sz="1100" b="1" i="0" u="none" strike="noStrike" baseline="0">
              <a:solidFill>
                <a:schemeClr val="dk1"/>
              </a:solidFill>
              <a:latin typeface="+mn-lt"/>
              <a:ea typeface="+mn-ea"/>
              <a:cs typeface="+mn-cs"/>
            </a:rPr>
            <a:t>If acidic conditions were to develop after closure, lime would be added to maintain alkaline conditions and low metals. </a:t>
          </a:r>
          <a:r>
            <a:rPr lang="en-US" sz="1100" b="0" i="0" u="none" strike="noStrike" baseline="0">
              <a:solidFill>
                <a:schemeClr val="dk1"/>
              </a:solidFill>
              <a:latin typeface="+mn-lt"/>
              <a:ea typeface="+mn-ea"/>
              <a:cs typeface="+mn-cs"/>
            </a:rPr>
            <a:t>5000 tons of lime would be needed over the 30-year post-closure period, or about 150 tons per year. "</a:t>
          </a:r>
        </a:p>
        <a:p>
          <a:endParaRPr lang="en-US" sz="1100"/>
        </a:p>
      </xdr:txBody>
    </xdr:sp>
    <xdr:clientData/>
  </xdr:twoCellAnchor>
  <xdr:twoCellAnchor>
    <xdr:from>
      <xdr:col>0</xdr:col>
      <xdr:colOff>166256</xdr:colOff>
      <xdr:row>758</xdr:row>
      <xdr:rowOff>166254</xdr:rowOff>
    </xdr:from>
    <xdr:to>
      <xdr:col>7</xdr:col>
      <xdr:colOff>2923310</xdr:colOff>
      <xdr:row>777</xdr:row>
      <xdr:rowOff>55418</xdr:rowOff>
    </xdr:to>
    <xdr:sp macro="" textlink="">
      <xdr:nvSpPr>
        <xdr:cNvPr id="22" name="TextBox 21">
          <a:extLst>
            <a:ext uri="{FF2B5EF4-FFF2-40B4-BE49-F238E27FC236}">
              <a16:creationId xmlns:a16="http://schemas.microsoft.com/office/drawing/2014/main" id="{56FA3560-5A87-4D2D-8E1F-EAC1F95479B1}"/>
            </a:ext>
          </a:extLst>
        </xdr:cNvPr>
        <xdr:cNvSpPr txBox="1"/>
      </xdr:nvSpPr>
      <xdr:spPr>
        <a:xfrm>
          <a:off x="166256" y="108508799"/>
          <a:ext cx="9573490" cy="33112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2023 Rec Plan:</a:t>
          </a:r>
          <a:br>
            <a:rPr lang="en-US" sz="1100" b="1" i="0" baseline="0">
              <a:solidFill>
                <a:schemeClr val="dk1"/>
              </a:solidFill>
              <a:effectLst/>
              <a:latin typeface="+mn-lt"/>
              <a:ea typeface="+mn-ea"/>
              <a:cs typeface="+mn-cs"/>
            </a:rPr>
          </a:br>
          <a:r>
            <a:rPr lang="en-US" sz="1100" b="1" i="0" baseline="0">
              <a:solidFill>
                <a:schemeClr val="dk1"/>
              </a:solidFill>
              <a:effectLst/>
              <a:latin typeface="+mn-lt"/>
              <a:ea typeface="+mn-ea"/>
              <a:cs typeface="+mn-cs"/>
            </a:rPr>
            <a:t>8.1.4 Closure Spillway </a:t>
          </a:r>
          <a:endParaRPr lang="en-US">
            <a:effectLst/>
          </a:endParaRPr>
        </a:p>
        <a:p>
          <a:r>
            <a:rPr lang="en-US" sz="1100" b="0" i="0" baseline="0">
              <a:solidFill>
                <a:schemeClr val="dk1"/>
              </a:solidFill>
              <a:effectLst/>
              <a:latin typeface="+mn-lt"/>
              <a:ea typeface="+mn-ea"/>
              <a:cs typeface="+mn-cs"/>
            </a:rPr>
            <a:t>A conceptual closure spillway has been designed to prevent water from pooling against the embankment (Figure RP-8-4). A conceptual design for the closure spillway is presented in Appendix B to Knight Piésold’s Reclamation Overview report of the Design Document (KP 2018b). </a:t>
          </a:r>
          <a:endParaRPr lang="en-US">
            <a:effectLst/>
          </a:endParaRPr>
        </a:p>
        <a:p>
          <a:r>
            <a:rPr lang="en-US" sz="1100" b="0" i="0" baseline="0">
              <a:solidFill>
                <a:schemeClr val="dk1"/>
              </a:solidFill>
              <a:effectLst/>
              <a:latin typeface="+mn-lt"/>
              <a:ea typeface="+mn-ea"/>
              <a:cs typeface="+mn-cs"/>
            </a:rPr>
            <a:t>The spillway walls and bottom in the segment would be excavated in bedrock. The spillway segment traversing previously disturbed areas would be regraded, covered with 20 inches of alluvium, and broadcast seeded with the mixture shown in Table RP-6-1. </a:t>
          </a:r>
          <a:endParaRPr lang="en-US">
            <a:effectLst/>
          </a:endParaRPr>
        </a:p>
        <a:p>
          <a:r>
            <a:rPr lang="en-US" sz="1100" b="1" i="0" baseline="0">
              <a:solidFill>
                <a:schemeClr val="dk1"/>
              </a:solidFill>
              <a:effectLst/>
              <a:latin typeface="+mn-lt"/>
              <a:ea typeface="+mn-ea"/>
              <a:cs typeface="+mn-cs"/>
            </a:rPr>
            <a:t>8.1.5 West Embankment Drain and Pond </a:t>
          </a:r>
          <a:endParaRPr lang="en-US">
            <a:effectLst/>
          </a:endParaRPr>
        </a:p>
        <a:p>
          <a:r>
            <a:rPr lang="en-US" sz="1100" b="0" i="0" baseline="0">
              <a:solidFill>
                <a:schemeClr val="dk1"/>
              </a:solidFill>
              <a:effectLst/>
              <a:latin typeface="+mn-lt"/>
              <a:ea typeface="+mn-ea"/>
              <a:cs typeface="+mn-cs"/>
            </a:rPr>
            <a:t>Post-closure, water collected by the WED would be managed as part of the BMFOU remedy per resolution of a stipulation to Permit Amendment 10. No bond is required for plugging and closing this feature, as was assumed in previous bonds. When the Extraction Pond is no longer deemed necessary, its reclamation would also be managed as part of the transition of WED flow to BMFOU remedy. </a:t>
          </a:r>
          <a:endParaRPr lang="en-US">
            <a:effectLst/>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Assumptions:</a:t>
          </a:r>
          <a:r>
            <a:rPr lang="en-US" i="0"/>
            <a:t> </a:t>
          </a:r>
          <a:r>
            <a:rPr lang="en-US" sz="1100" b="0" i="0" u="none" strike="noStrike">
              <a:solidFill>
                <a:schemeClr val="dk1"/>
              </a:solidFill>
              <a:effectLst/>
              <a:latin typeface="+mn-lt"/>
              <a:ea typeface="+mn-ea"/>
              <a:cs typeface="+mn-cs"/>
            </a:rPr>
            <a:t>A conceptual post-closure spillway design was approved through Amend 010.</a:t>
          </a:r>
          <a:r>
            <a:rPr lang="en-US"/>
            <a:t> </a:t>
          </a:r>
          <a:r>
            <a:rPr lang="en-US" sz="1100" b="0" i="0" u="none" strike="noStrike">
              <a:solidFill>
                <a:schemeClr val="dk1"/>
              </a:solidFill>
              <a:effectLst/>
              <a:latin typeface="+mn-lt"/>
              <a:ea typeface="+mn-ea"/>
              <a:cs typeface="+mn-cs"/>
            </a:rPr>
            <a:t>A detailed design will be undertaken once the facility closure is imminent and closure conditions are available.</a:t>
          </a:r>
          <a:r>
            <a:rPr lang="en-US"/>
            <a:t> </a:t>
          </a:r>
          <a:r>
            <a:rPr lang="en-US" sz="1100" b="0" i="0" u="none" strike="noStrike">
              <a:solidFill>
                <a:schemeClr val="dk1"/>
              </a:solidFill>
              <a:effectLst/>
              <a:latin typeface="+mn-lt"/>
              <a:ea typeface="+mn-ea"/>
              <a:cs typeface="+mn-cs"/>
            </a:rPr>
            <a:t>The design is located in KP's Reclamation Overview Design Document, Appendix B.</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spillway was modeled as a trapezoid channel cut into bedrock on the left abutment of the YDTI embankment.</a:t>
          </a:r>
          <a:r>
            <a:rPr lang="en-US"/>
            <a:t> </a:t>
          </a:r>
          <a:r>
            <a:rPr lang="en-US" sz="1100" b="0" i="0" u="none" strike="noStrike">
              <a:solidFill>
                <a:schemeClr val="dk1"/>
              </a:solidFill>
              <a:effectLst/>
              <a:latin typeface="+mn-lt"/>
              <a:ea typeface="+mn-ea"/>
              <a:cs typeface="+mn-cs"/>
            </a:rPr>
            <a:t>The excavated channel will extend 5,000 feet southward to a point where local topography creates a flow path to the Continental Pit.</a:t>
          </a:r>
          <a:r>
            <a:rPr lang="en-US"/>
            <a:t> </a:t>
          </a:r>
          <a:r>
            <a:rPr lang="en-US" sz="1100" b="0" i="0" u="none" strike="noStrike">
              <a:solidFill>
                <a:schemeClr val="dk1"/>
              </a:solidFill>
              <a:effectLst/>
              <a:latin typeface="+mn-lt"/>
              <a:ea typeface="+mn-ea"/>
              <a:cs typeface="+mn-cs"/>
            </a:rPr>
            <a:t>The conceptual spillway intake and channel designs and costs were provided</a:t>
          </a:r>
          <a:r>
            <a:rPr lang="en-US" sz="1100" b="0" i="0" u="none" strike="noStrike" baseline="0">
              <a:solidFill>
                <a:schemeClr val="dk1"/>
              </a:solidFill>
              <a:effectLst/>
              <a:latin typeface="+mn-lt"/>
              <a:ea typeface="+mn-ea"/>
              <a:cs typeface="+mn-cs"/>
            </a:rPr>
            <a:t> by Knight Piesold (2020).</a:t>
          </a:r>
          <a:endParaRPr lang="en-US" sz="1100"/>
        </a:p>
      </xdr:txBody>
    </xdr:sp>
    <xdr:clientData/>
  </xdr:twoCellAnchor>
  <xdr:twoCellAnchor>
    <xdr:from>
      <xdr:col>0</xdr:col>
      <xdr:colOff>272143</xdr:colOff>
      <xdr:row>668</xdr:row>
      <xdr:rowOff>122465</xdr:rowOff>
    </xdr:from>
    <xdr:to>
      <xdr:col>7</xdr:col>
      <xdr:colOff>1465568</xdr:colOff>
      <xdr:row>689</xdr:row>
      <xdr:rowOff>54429</xdr:rowOff>
    </xdr:to>
    <xdr:sp macro="" textlink="">
      <xdr:nvSpPr>
        <xdr:cNvPr id="9" name="TextBox 8">
          <a:extLst>
            <a:ext uri="{FF2B5EF4-FFF2-40B4-BE49-F238E27FC236}">
              <a16:creationId xmlns:a16="http://schemas.microsoft.com/office/drawing/2014/main" id="{363D7D17-F561-4853-8849-448F0BA07486}"/>
            </a:ext>
          </a:extLst>
        </xdr:cNvPr>
        <xdr:cNvSpPr txBox="1"/>
      </xdr:nvSpPr>
      <xdr:spPr>
        <a:xfrm>
          <a:off x="272143" y="127771072"/>
          <a:ext cx="7888139" cy="393246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Bond Release (2008) Discussion:</a:t>
          </a:r>
        </a:p>
        <a:p>
          <a:r>
            <a:rPr lang="en-US" sz="1100" b="0" i="0" u="none" strike="noStrike">
              <a:solidFill>
                <a:schemeClr val="dk1"/>
              </a:solidFill>
              <a:effectLst/>
              <a:latin typeface="+mn-lt"/>
              <a:ea typeface="+mn-ea"/>
              <a:cs typeface="+mn-cs"/>
            </a:rPr>
            <a:t>In 2008, bond release was requested for resloping, soil placement, and vegetation establishment on multiple areas.</a:t>
          </a:r>
          <a:r>
            <a:rPr lang="en-US"/>
            <a:t> </a:t>
          </a:r>
          <a:r>
            <a:rPr lang="en-US" sz="1100" b="0" i="0" u="none" strike="noStrike">
              <a:solidFill>
                <a:schemeClr val="dk1"/>
              </a:solidFill>
              <a:effectLst/>
              <a:latin typeface="+mn-lt"/>
              <a:ea typeface="+mn-ea"/>
              <a:cs typeface="+mn-cs"/>
            </a:rPr>
            <a:t>Based on field inspection, the slope angles are satisfactory, approximately 2.5 to 3H:1V slope.</a:t>
          </a:r>
          <a:r>
            <a:rPr lang="en-US"/>
            <a:t> </a:t>
          </a:r>
          <a:r>
            <a:rPr lang="en-US" sz="1100" b="0" i="0" u="none" strike="noStrike">
              <a:solidFill>
                <a:schemeClr val="dk1"/>
              </a:solidFill>
              <a:effectLst/>
              <a:latin typeface="+mn-lt"/>
              <a:ea typeface="+mn-ea"/>
              <a:cs typeface="+mn-cs"/>
            </a:rPr>
            <a:t>The existing vegetation is a mixture of desirable grasses, forbs, and noxious weeds.</a:t>
          </a:r>
          <a:r>
            <a:rPr lang="en-US"/>
            <a:t> </a:t>
          </a:r>
        </a:p>
        <a:p>
          <a:endParaRPr lang="en-US" sz="1100"/>
        </a:p>
        <a:p>
          <a:r>
            <a:rPr lang="en-US" sz="1100" u="sng"/>
            <a:t>East and North East Dumps:</a:t>
          </a:r>
        </a:p>
        <a:p>
          <a:r>
            <a:rPr lang="en-US" sz="1100" b="0" i="0" u="none" strike="noStrike">
              <a:solidFill>
                <a:schemeClr val="dk1"/>
              </a:solidFill>
              <a:effectLst/>
              <a:latin typeface="+mn-lt"/>
              <a:ea typeface="+mn-ea"/>
              <a:cs typeface="+mn-cs"/>
            </a:rPr>
            <a:t>To achieve full bond release in the future, DEQ recommended the following for the East and North East Dumps:</a:t>
          </a:r>
        </a:p>
        <a:p>
          <a:r>
            <a:rPr lang="en-US" sz="1100" b="0" i="0" u="none" strike="noStrike">
              <a:solidFill>
                <a:schemeClr val="dk1"/>
              </a:solidFill>
              <a:effectLst/>
              <a:latin typeface="+mn-lt"/>
              <a:ea typeface="+mn-ea"/>
              <a:cs typeface="+mn-cs"/>
            </a:rPr>
            <a:t>Fix erosion gullies by fixing source problems, installing temporary BMP's, replace lost soil, seed, and weed spray (2-3x per year)</a:t>
          </a:r>
        </a:p>
        <a:p>
          <a:endParaRPr lang="en-US" sz="1100" b="0" i="0" u="none" strike="noStrike">
            <a:solidFill>
              <a:schemeClr val="dk1"/>
            </a:solidFill>
            <a:effectLst/>
            <a:latin typeface="+mn-lt"/>
            <a:ea typeface="+mn-ea"/>
            <a:cs typeface="+mn-cs"/>
          </a:endParaRPr>
        </a:p>
        <a:p>
          <a:r>
            <a:rPr lang="en-US" sz="1100" b="1" i="0" u="none" strike="noStrike">
              <a:solidFill>
                <a:schemeClr val="dk1"/>
              </a:solidFill>
              <a:effectLst/>
              <a:latin typeface="+mn-lt"/>
              <a:ea typeface="+mn-ea"/>
              <a:cs typeface="+mn-cs"/>
            </a:rPr>
            <a:t>For the East and North East Dumps (Partially Reclaimed/Released) in the 2025 map, only the costs of revegetation, erosion repair, and weed control will apply</a:t>
          </a:r>
        </a:p>
        <a:p>
          <a:endParaRPr lang="en-US" sz="1100"/>
        </a:p>
        <a:p>
          <a:pPr marL="0" marR="0" lvl="0" indent="0" defTabSz="914400" eaLnBrk="1" fontAlgn="auto" latinLnBrk="0" hangingPunct="1">
            <a:lnSpc>
              <a:spcPct val="100000"/>
            </a:lnSpc>
            <a:spcBef>
              <a:spcPts val="0"/>
            </a:spcBef>
            <a:spcAft>
              <a:spcPts val="0"/>
            </a:spcAft>
            <a:buClrTx/>
            <a:buSzTx/>
            <a:buFontTx/>
            <a:buNone/>
            <a:tabLst/>
            <a:defRPr/>
          </a:pPr>
          <a:r>
            <a:rPr lang="en-US" sz="1100" u="sng">
              <a:solidFill>
                <a:schemeClr val="dk1"/>
              </a:solidFill>
              <a:effectLst/>
              <a:latin typeface="+mn-lt"/>
              <a:ea typeface="+mn-ea"/>
              <a:cs typeface="+mn-cs"/>
            </a:rPr>
            <a:t>Hillcrest Dump:</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No surface water collection ditches or slope break features were built on the Hillcrest slope (400-500 ft long)</a:t>
          </a:r>
          <a:r>
            <a:rPr lang="en-US"/>
            <a:t> </a:t>
          </a:r>
          <a:r>
            <a:rPr lang="en-US" sz="1100" b="0" i="0" u="none" strike="noStrike">
              <a:solidFill>
                <a:schemeClr val="dk1"/>
              </a:solidFill>
              <a:effectLst/>
              <a:latin typeface="+mn-lt"/>
              <a:ea typeface="+mn-ea"/>
              <a:cs typeface="+mn-cs"/>
            </a:rPr>
            <a:t>In addition, there exists three "hot spots" without vegetation, indicating poor soil quality.</a:t>
          </a:r>
          <a:r>
            <a:rPr lang="en-US"/>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To achieve full bond release in the future, DEQ recommended the following for the Hillcrest Dump:</a:t>
          </a:r>
          <a:r>
            <a:rPr lang="en-US"/>
            <a:t>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Construct main surface water collection ditches to help prevent erosion, Fix all hot spots by selectively digging out the existing soil, re-apply lime and good quality soil, seed, and weed spray, Fix all erosion gullies by correcting the source problem, installing temporary BMPs, replace lost soil, seed, and weed spray</a:t>
          </a:r>
          <a:r>
            <a:rPr lang="en-US"/>
            <a:t> </a:t>
          </a:r>
          <a:r>
            <a:rPr lang="en-US" sz="1100" b="0" i="0" u="none" strike="noStrike">
              <a:solidFill>
                <a:schemeClr val="dk1"/>
              </a:solidFill>
              <a:effectLst/>
              <a:latin typeface="+mn-lt"/>
              <a:ea typeface="+mn-ea"/>
              <a:cs typeface="+mn-cs"/>
            </a:rPr>
            <a:t>(2-3x a time)</a:t>
          </a:r>
        </a:p>
        <a:p>
          <a:pPr marL="0" marR="0" lvl="0" indent="0" defTabSz="914400" eaLnBrk="1" fontAlgn="auto" latinLnBrk="0" hangingPunct="1">
            <a:lnSpc>
              <a:spcPct val="100000"/>
            </a:lnSpc>
            <a:spcBef>
              <a:spcPts val="0"/>
            </a:spcBef>
            <a:spcAft>
              <a:spcPts val="0"/>
            </a:spcAft>
            <a:buClrTx/>
            <a:buSzTx/>
            <a:buFontTx/>
            <a:buNone/>
            <a:tabLst/>
            <a:defRPr/>
          </a:pPr>
          <a:endParaRPr lang="en-US" sz="1100" b="0" i="0" u="none" strike="noStrike">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For the Hillcrest Dump (Partially Reclaimed/Released) in the 2025 map, the costs of constructing storm water channels, repairing hot spots, revegetation, erosion repair, and weed control will apply</a:t>
          </a:r>
          <a:r>
            <a:rPr lang="en-US" b="1"/>
            <a:t> </a:t>
          </a:r>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732299</xdr:colOff>
      <xdr:row>127</xdr:row>
      <xdr:rowOff>51244</xdr:rowOff>
    </xdr:from>
    <xdr:to>
      <xdr:col>8</xdr:col>
      <xdr:colOff>752970</xdr:colOff>
      <xdr:row>175</xdr:row>
      <xdr:rowOff>53368</xdr:rowOff>
    </xdr:to>
    <xdr:pic>
      <xdr:nvPicPr>
        <xdr:cNvPr id="9" name="Picture 8">
          <a:extLst>
            <a:ext uri="{FF2B5EF4-FFF2-40B4-BE49-F238E27FC236}">
              <a16:creationId xmlns:a16="http://schemas.microsoft.com/office/drawing/2014/main" id="{89FBB105-11A7-6DAA-DB5A-EDB9DFF6C9A3}"/>
            </a:ext>
          </a:extLst>
        </xdr:cNvPr>
        <xdr:cNvPicPr>
          <a:picLocks noChangeAspect="1"/>
        </xdr:cNvPicPr>
      </xdr:nvPicPr>
      <xdr:blipFill>
        <a:blip xmlns:r="http://schemas.openxmlformats.org/officeDocument/2006/relationships" r:embed="rId1"/>
        <a:stretch>
          <a:fillRect/>
        </a:stretch>
      </xdr:blipFill>
      <xdr:spPr>
        <a:xfrm>
          <a:off x="6804487" y="23387494"/>
          <a:ext cx="6989704" cy="9161365"/>
        </a:xfrm>
        <a:prstGeom prst="rect">
          <a:avLst/>
        </a:prstGeom>
      </xdr:spPr>
    </xdr:pic>
    <xdr:clientData/>
  </xdr:twoCellAnchor>
  <xdr:twoCellAnchor editAs="oneCell">
    <xdr:from>
      <xdr:col>0</xdr:col>
      <xdr:colOff>690822</xdr:colOff>
      <xdr:row>127</xdr:row>
      <xdr:rowOff>127015</xdr:rowOff>
    </xdr:from>
    <xdr:to>
      <xdr:col>2</xdr:col>
      <xdr:colOff>746422</xdr:colOff>
      <xdr:row>174</xdr:row>
      <xdr:rowOff>38542</xdr:rowOff>
    </xdr:to>
    <xdr:pic>
      <xdr:nvPicPr>
        <xdr:cNvPr id="12" name="Picture 11">
          <a:extLst>
            <a:ext uri="{FF2B5EF4-FFF2-40B4-BE49-F238E27FC236}">
              <a16:creationId xmlns:a16="http://schemas.microsoft.com/office/drawing/2014/main" id="{1FA3EAB3-D204-E96E-7C0D-75E7A4FA4044}"/>
            </a:ext>
          </a:extLst>
        </xdr:cNvPr>
        <xdr:cNvPicPr>
          <a:picLocks noChangeAspect="1"/>
        </xdr:cNvPicPr>
      </xdr:nvPicPr>
      <xdr:blipFill>
        <a:blip xmlns:r="http://schemas.openxmlformats.org/officeDocument/2006/relationships" r:embed="rId2"/>
        <a:stretch>
          <a:fillRect/>
        </a:stretch>
      </xdr:blipFill>
      <xdr:spPr>
        <a:xfrm>
          <a:off x="690822" y="23463265"/>
          <a:ext cx="5856412" cy="8861218"/>
        </a:xfrm>
        <a:prstGeom prst="rect">
          <a:avLst/>
        </a:prstGeom>
        <a:ln>
          <a:solidFill>
            <a:sysClr val="windowText" lastClr="000000"/>
          </a:solidFill>
        </a:ln>
      </xdr:spPr>
    </xdr:pic>
    <xdr:clientData/>
  </xdr:twoCellAnchor>
  <xdr:twoCellAnchor>
    <xdr:from>
      <xdr:col>0</xdr:col>
      <xdr:colOff>727933</xdr:colOff>
      <xdr:row>118</xdr:row>
      <xdr:rowOff>114377</xdr:rowOff>
    </xdr:from>
    <xdr:to>
      <xdr:col>5</xdr:col>
      <xdr:colOff>189883</xdr:colOff>
      <xdr:row>124</xdr:row>
      <xdr:rowOff>69473</xdr:rowOff>
    </xdr:to>
    <xdr:sp macro="" textlink="">
      <xdr:nvSpPr>
        <xdr:cNvPr id="15" name="TextBox 14">
          <a:extLst>
            <a:ext uri="{FF2B5EF4-FFF2-40B4-BE49-F238E27FC236}">
              <a16:creationId xmlns:a16="http://schemas.microsoft.com/office/drawing/2014/main" id="{9FB8F58F-60CD-426A-B9D7-C22DCBFC3B53}"/>
            </a:ext>
          </a:extLst>
        </xdr:cNvPr>
        <xdr:cNvSpPr txBox="1"/>
      </xdr:nvSpPr>
      <xdr:spPr>
        <a:xfrm>
          <a:off x="727933" y="23110448"/>
          <a:ext cx="8007236" cy="10980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Assumptions/Observations:</a:t>
          </a:r>
          <a:br>
            <a:rPr lang="en-US" sz="1100" b="1"/>
          </a:br>
          <a:r>
            <a:rPr lang="en-US" sz="1100" b="1"/>
            <a:t>Roads- </a:t>
          </a:r>
          <a:r>
            <a:rPr lang="en-US" sz="1100"/>
            <a:t>Road</a:t>
          </a:r>
          <a:r>
            <a:rPr lang="en-US" sz="1100" baseline="0"/>
            <a:t> width may vary from 20-100 feet (average 60 ft). W</a:t>
          </a:r>
          <a:r>
            <a:rPr lang="en-US" sz="1100"/>
            <a:t>ithout further details about</a:t>
          </a:r>
          <a:r>
            <a:rPr lang="en-US" sz="1100" baseline="0"/>
            <a:t> road segments (length and area) that would be retained versus the road areas that would be reclaimed-- </a:t>
          </a:r>
          <a:r>
            <a:rPr lang="en-US" sz="1100" b="1" baseline="0"/>
            <a:t>it is assumed th</a:t>
          </a:r>
          <a:r>
            <a:rPr lang="en-US" sz="1100" b="1"/>
            <a:t>at the road acreage (post-1974</a:t>
          </a:r>
          <a:r>
            <a:rPr lang="en-US" sz="1100" b="1" baseline="0"/>
            <a:t> area) </a:t>
          </a:r>
          <a:r>
            <a:rPr lang="en-US" sz="1100" b="1"/>
            <a:t>will be reduced by 50% through reclamation. This can also be visualized as reducing the existing road widths by half (by</a:t>
          </a:r>
          <a:r>
            <a:rPr lang="en-US" sz="1100" b="1" baseline="0"/>
            <a:t> </a:t>
          </a:r>
          <a:r>
            <a:rPr lang="en-US" sz="1100" b="1"/>
            <a:t>~10-50 ft)</a:t>
          </a:r>
          <a:r>
            <a:rPr lang="en-US" sz="1100"/>
            <a:t>. Like</a:t>
          </a:r>
          <a:r>
            <a:rPr lang="en-US" sz="1100" baseline="0"/>
            <a:t> other misc. disturbance acres, i</a:t>
          </a:r>
          <a:r>
            <a:rPr lang="en-US" sz="1100"/>
            <a:t>t is assumed that half of the</a:t>
          </a:r>
          <a:r>
            <a:rPr lang="en-US" sz="1100" baseline="0"/>
            <a:t> reclaimed road acreage will need to be corrected for slope area.</a:t>
          </a:r>
          <a:br>
            <a:rPr lang="en-US" sz="1100" baseline="0"/>
          </a:br>
          <a:endParaRPr lang="en-US" sz="1100" baseline="0"/>
        </a:p>
      </xdr:txBody>
    </xdr:sp>
    <xdr:clientData/>
  </xdr:twoCellAnchor>
  <xdr:twoCellAnchor editAs="oneCell">
    <xdr:from>
      <xdr:col>9</xdr:col>
      <xdr:colOff>464549</xdr:colOff>
      <xdr:row>180</xdr:row>
      <xdr:rowOff>262345</xdr:rowOff>
    </xdr:from>
    <xdr:to>
      <xdr:col>12</xdr:col>
      <xdr:colOff>2824161</xdr:colOff>
      <xdr:row>223</xdr:row>
      <xdr:rowOff>59830</xdr:rowOff>
    </xdr:to>
    <xdr:pic>
      <xdr:nvPicPr>
        <xdr:cNvPr id="5" name="Picture 4">
          <a:extLst>
            <a:ext uri="{FF2B5EF4-FFF2-40B4-BE49-F238E27FC236}">
              <a16:creationId xmlns:a16="http://schemas.microsoft.com/office/drawing/2014/main" id="{FA5DC23C-395C-4369-97E6-84F6B7C4D77C}"/>
            </a:ext>
          </a:extLst>
        </xdr:cNvPr>
        <xdr:cNvPicPr>
          <a:picLocks noChangeAspect="1"/>
        </xdr:cNvPicPr>
      </xdr:nvPicPr>
      <xdr:blipFill>
        <a:blip xmlns:r="http://schemas.openxmlformats.org/officeDocument/2006/relationships" r:embed="rId3"/>
        <a:stretch>
          <a:fillRect/>
        </a:stretch>
      </xdr:blipFill>
      <xdr:spPr>
        <a:xfrm>
          <a:off x="13922013" y="35246309"/>
          <a:ext cx="6224041" cy="8369985"/>
        </a:xfrm>
        <a:prstGeom prst="rect">
          <a:avLst/>
        </a:prstGeom>
        <a:ln w="38100">
          <a:solidFill>
            <a:srgbClr val="00B0F0"/>
          </a:solidFill>
        </a:ln>
      </xdr:spPr>
    </xdr:pic>
    <xdr:clientData/>
  </xdr:twoCellAnchor>
  <xdr:twoCellAnchor editAs="oneCell">
    <xdr:from>
      <xdr:col>5</xdr:col>
      <xdr:colOff>1873704</xdr:colOff>
      <xdr:row>225</xdr:row>
      <xdr:rowOff>27214</xdr:rowOff>
    </xdr:from>
    <xdr:to>
      <xdr:col>12</xdr:col>
      <xdr:colOff>1749063</xdr:colOff>
      <xdr:row>256</xdr:row>
      <xdr:rowOff>95006</xdr:rowOff>
    </xdr:to>
    <xdr:pic>
      <xdr:nvPicPr>
        <xdr:cNvPr id="2" name="Picture 1">
          <a:extLst>
            <a:ext uri="{FF2B5EF4-FFF2-40B4-BE49-F238E27FC236}">
              <a16:creationId xmlns:a16="http://schemas.microsoft.com/office/drawing/2014/main" id="{FB6173A4-70E8-16E1-5F3C-56224CFDFC0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0418990" y="43964678"/>
          <a:ext cx="9223466" cy="5973292"/>
        </a:xfrm>
        <a:prstGeom prst="rect">
          <a:avLst/>
        </a:prstGeom>
        <a:ln>
          <a:solidFill>
            <a:sysClr val="windowText" lastClr="000000"/>
          </a:solid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193653</xdr:colOff>
      <xdr:row>123</xdr:row>
      <xdr:rowOff>36821</xdr:rowOff>
    </xdr:from>
    <xdr:to>
      <xdr:col>4</xdr:col>
      <xdr:colOff>1259060</xdr:colOff>
      <xdr:row>137</xdr:row>
      <xdr:rowOff>132070</xdr:rowOff>
    </xdr:to>
    <xdr:sp macro="" textlink="">
      <xdr:nvSpPr>
        <xdr:cNvPr id="5" name="TextBox 4">
          <a:extLst>
            <a:ext uri="{FF2B5EF4-FFF2-40B4-BE49-F238E27FC236}">
              <a16:creationId xmlns:a16="http://schemas.microsoft.com/office/drawing/2014/main" id="{8F723506-382D-43A9-97E8-628A8316C65A}"/>
            </a:ext>
          </a:extLst>
        </xdr:cNvPr>
        <xdr:cNvSpPr txBox="1"/>
      </xdr:nvSpPr>
      <xdr:spPr>
        <a:xfrm>
          <a:off x="193653" y="22538233"/>
          <a:ext cx="9559466" cy="276224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Copper</a:t>
          </a:r>
          <a:r>
            <a:rPr lang="en-US" sz="1100" b="1" i="0" u="none" strike="noStrike" baseline="0">
              <a:solidFill>
                <a:schemeClr val="dk1"/>
              </a:solidFill>
              <a:effectLst/>
              <a:latin typeface="+mn-lt"/>
              <a:ea typeface="+mn-ea"/>
              <a:cs typeface="+mn-cs"/>
            </a:rPr>
            <a:t> Precipitation Plant- </a:t>
          </a:r>
          <a:r>
            <a:rPr lang="en-US" sz="1100" b="1" i="0" u="none" strike="noStrike">
              <a:solidFill>
                <a:schemeClr val="dk1"/>
              </a:solidFill>
              <a:effectLst/>
              <a:latin typeface="+mn-lt"/>
              <a:ea typeface="+mn-ea"/>
              <a:cs typeface="+mn-cs"/>
            </a:rPr>
            <a:t>MR22-001</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Demolish and Remove Precipitation Plant (concrete slab and bins/walls) and Shaker</a:t>
          </a:r>
          <a:r>
            <a:rPr lang="en-US" sz="1100" b="1" i="0" u="none" strike="noStrike" baseline="0">
              <a:solidFill>
                <a:schemeClr val="dk1"/>
              </a:solidFill>
              <a:effectLst/>
              <a:latin typeface="+mn-lt"/>
              <a:ea typeface="+mn-ea"/>
              <a:cs typeface="+mn-cs"/>
            </a:rPr>
            <a:t> Building (steel frame building)</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No post-mine use has been verified for BMFOU water treatment, assume the facilities will be demolished and removed</a:t>
          </a:r>
          <a:r>
            <a:rPr lang="en-US"/>
            <a:t> </a:t>
          </a:r>
          <a:r>
            <a:rPr lang="en-US" sz="1100" b="0" i="0" u="none" strike="noStrike">
              <a:solidFill>
                <a:schemeClr val="dk1"/>
              </a:solidFill>
              <a:effectLst/>
              <a:latin typeface="+mn-lt"/>
              <a:ea typeface="+mn-ea"/>
              <a:cs typeface="+mn-cs"/>
            </a:rPr>
            <a:t>Facilities will be dismantled and removed completely, the underlying ground will be reclaimed as described above</a:t>
          </a:r>
          <a:r>
            <a:rPr lang="en-US"/>
            <a:t> </a:t>
          </a:r>
          <a:r>
            <a:rPr lang="en-US" sz="1100" b="0" i="0" u="none" strike="noStrike">
              <a:solidFill>
                <a:schemeClr val="dk1"/>
              </a:solidFill>
              <a:effectLst/>
              <a:latin typeface="+mn-lt"/>
              <a:ea typeface="+mn-ea"/>
              <a:cs typeface="+mn-cs"/>
            </a:rPr>
            <a:t>Inert material will be disposed in the on-site disposal area</a:t>
          </a:r>
          <a:r>
            <a:rPr lang="en-US"/>
            <a:t> </a:t>
          </a:r>
          <a:br>
            <a:rPr lang="en-US" sz="1100" b="0" i="0" u="sng" strike="noStrike" baseline="0">
              <a:solidFill>
                <a:schemeClr val="dk1"/>
              </a:solidFill>
              <a:latin typeface="+mn-lt"/>
              <a:ea typeface="+mn-ea"/>
              <a:cs typeface="+mn-cs"/>
            </a:rPr>
          </a:br>
          <a:br>
            <a:rPr lang="en-US" sz="1100" b="0" i="0" u="sng" strike="noStrike" baseline="0">
              <a:solidFill>
                <a:schemeClr val="dk1"/>
              </a:solidFill>
              <a:latin typeface="+mn-lt"/>
              <a:ea typeface="+mn-ea"/>
              <a:cs typeface="+mn-cs"/>
            </a:rPr>
          </a:br>
          <a:r>
            <a:rPr lang="en-US" sz="1100" b="0" i="0" u="sng" strike="noStrike" baseline="0">
              <a:solidFill>
                <a:schemeClr val="dk1"/>
              </a:solidFill>
              <a:latin typeface="+mn-lt"/>
              <a:ea typeface="+mn-ea"/>
              <a:cs typeface="+mn-cs"/>
            </a:rPr>
            <a:t>MR22-001, Deficiency Response (8/1/2022):</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"Demolition and reclamation of the relocated Precipitation Plant will be consistent with the Continental Mine Reclamation Plan (December 2021). The subsequent update of the Consolidated Operations and Reclamation Plans will include the new Precipitation Plant location."</a:t>
          </a:r>
        </a:p>
        <a:p>
          <a:r>
            <a:rPr lang="en-US" sz="1100" b="0" i="0" u="none" strike="noStrike" baseline="0">
              <a:solidFill>
                <a:schemeClr val="dk1"/>
              </a:solidFill>
              <a:latin typeface="+mn-lt"/>
              <a:ea typeface="+mn-ea"/>
              <a:cs typeface="+mn-cs"/>
            </a:rPr>
            <a:t>"When deemed appropriate, demolition and reclamation of the relocated Precipitation Plant will be consistent with the prior Precipitation Plant in the Continental Mine Reclamation Plan (December 2021)."</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sng" baseline="0">
              <a:solidFill>
                <a:schemeClr val="dk1"/>
              </a:solidFill>
              <a:effectLst/>
              <a:latin typeface="+mn-lt"/>
              <a:ea typeface="+mn-ea"/>
              <a:cs typeface="+mn-cs"/>
            </a:rPr>
            <a:t>MR22-001, Deficiency Response (9/12/2022):</a:t>
          </a:r>
          <a:endParaRPr lang="en-US">
            <a:effectLst/>
          </a:endParaRPr>
        </a:p>
        <a:p>
          <a:r>
            <a:rPr lang="en-US" sz="1100" b="0" i="0" baseline="0">
              <a:solidFill>
                <a:schemeClr val="dk1"/>
              </a:solidFill>
              <a:effectLst/>
              <a:latin typeface="+mn-lt"/>
              <a:ea typeface="+mn-ea"/>
              <a:cs typeface="+mn-cs"/>
            </a:rPr>
            <a:t>"The relocated facility is being reverse engineered from the old facility. There are no IFC drawings or other drawings not already provided to DEQ. Construction materials and methods are standard materials and methods for industrial construction </a:t>
          </a:r>
          <a:r>
            <a:rPr lang="en-US" sz="1100" b="0" i="0" u="sng" baseline="0">
              <a:solidFill>
                <a:schemeClr val="dk1"/>
              </a:solidFill>
              <a:effectLst/>
              <a:latin typeface="+mn-lt"/>
              <a:ea typeface="+mn-ea"/>
              <a:cs typeface="+mn-cs"/>
            </a:rPr>
            <a:t>(e.g. 18" reinforced concrete and steel buildings)."</a:t>
          </a:r>
          <a:endParaRPr lang="en-US" u="sng">
            <a:effectLst/>
          </a:endParaRPr>
        </a:p>
        <a:p>
          <a:r>
            <a:rPr lang="en-US" sz="1100" b="0" i="0" baseline="0">
              <a:solidFill>
                <a:schemeClr val="dk1"/>
              </a:solidFill>
              <a:effectLst/>
              <a:latin typeface="+mn-lt"/>
              <a:ea typeface="+mn-ea"/>
              <a:cs typeface="+mn-cs"/>
            </a:rPr>
            <a:t>"All other operations (e.g. shaker building) are identical to the old facility."</a:t>
          </a:r>
          <a:endParaRPr lang="en-US">
            <a:effectLst/>
          </a:endParaRPr>
        </a:p>
      </xdr:txBody>
    </xdr:sp>
    <xdr:clientData/>
  </xdr:twoCellAnchor>
  <xdr:oneCellAnchor>
    <xdr:from>
      <xdr:col>4</xdr:col>
      <xdr:colOff>140469</xdr:colOff>
      <xdr:row>140</xdr:row>
      <xdr:rowOff>23362</xdr:rowOff>
    </xdr:from>
    <xdr:ext cx="4997317" cy="3913547"/>
    <xdr:pic>
      <xdr:nvPicPr>
        <xdr:cNvPr id="7" name="Picture 6">
          <a:extLst>
            <a:ext uri="{FF2B5EF4-FFF2-40B4-BE49-F238E27FC236}">
              <a16:creationId xmlns:a16="http://schemas.microsoft.com/office/drawing/2014/main" id="{1ED7E1C8-18EB-4872-88F0-4430F2C3102F}"/>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8753790" y="24420969"/>
          <a:ext cx="4997317" cy="3913547"/>
        </a:xfrm>
        <a:prstGeom prst="rect">
          <a:avLst/>
        </a:prstGeom>
        <a:ln>
          <a:solidFill>
            <a:sysClr val="windowText" lastClr="000000"/>
          </a:solidFill>
        </a:ln>
      </xdr:spPr>
    </xdr:pic>
    <xdr:clientData/>
  </xdr:oneCellAnchor>
  <xdr:oneCellAnchor>
    <xdr:from>
      <xdr:col>1</xdr:col>
      <xdr:colOff>2411205</xdr:colOff>
      <xdr:row>140</xdr:row>
      <xdr:rowOff>12475</xdr:rowOff>
    </xdr:from>
    <xdr:ext cx="3235759" cy="3923868"/>
    <xdr:pic>
      <xdr:nvPicPr>
        <xdr:cNvPr id="8" name="Picture 7">
          <a:extLst>
            <a:ext uri="{FF2B5EF4-FFF2-40B4-BE49-F238E27FC236}">
              <a16:creationId xmlns:a16="http://schemas.microsoft.com/office/drawing/2014/main" id="{F6BB6184-C070-4C60-9964-E76CE480769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5323134" y="24410082"/>
          <a:ext cx="3235759" cy="3923868"/>
        </a:xfrm>
        <a:prstGeom prst="rect">
          <a:avLst/>
        </a:prstGeom>
      </xdr:spPr>
    </xdr:pic>
    <xdr:clientData/>
  </xdr:oneCellAnchor>
  <xdr:twoCellAnchor editAs="oneCell">
    <xdr:from>
      <xdr:col>0</xdr:col>
      <xdr:colOff>221526</xdr:colOff>
      <xdr:row>139</xdr:row>
      <xdr:rowOff>186689</xdr:rowOff>
    </xdr:from>
    <xdr:to>
      <xdr:col>1</xdr:col>
      <xdr:colOff>2188450</xdr:colOff>
      <xdr:row>162</xdr:row>
      <xdr:rowOff>21034</xdr:rowOff>
    </xdr:to>
    <xdr:pic>
      <xdr:nvPicPr>
        <xdr:cNvPr id="14" name="Picture 13">
          <a:extLst>
            <a:ext uri="{FF2B5EF4-FFF2-40B4-BE49-F238E27FC236}">
              <a16:creationId xmlns:a16="http://schemas.microsoft.com/office/drawing/2014/main" id="{5A38FE7C-6C26-416B-1B85-F33E4356D9F9}"/>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21526" y="28571189"/>
          <a:ext cx="4789590" cy="4212034"/>
        </a:xfrm>
        <a:prstGeom prst="rect">
          <a:avLst/>
        </a:prstGeom>
        <a:ln>
          <a:solidFill>
            <a:sysClr val="windowText" lastClr="000000"/>
          </a:solidFill>
        </a:ln>
      </xdr:spPr>
    </xdr:pic>
    <xdr:clientData/>
  </xdr:twoCellAnchor>
  <xdr:twoCellAnchor>
    <xdr:from>
      <xdr:col>0</xdr:col>
      <xdr:colOff>210704</xdr:colOff>
      <xdr:row>188</xdr:row>
      <xdr:rowOff>75926</xdr:rowOff>
    </xdr:from>
    <xdr:to>
      <xdr:col>2</xdr:col>
      <xdr:colOff>363585</xdr:colOff>
      <xdr:row>225</xdr:row>
      <xdr:rowOff>3120</xdr:rowOff>
    </xdr:to>
    <xdr:sp macro="" textlink="">
      <xdr:nvSpPr>
        <xdr:cNvPr id="9" name="TextBox 8">
          <a:extLst>
            <a:ext uri="{FF2B5EF4-FFF2-40B4-BE49-F238E27FC236}">
              <a16:creationId xmlns:a16="http://schemas.microsoft.com/office/drawing/2014/main" id="{B9AC06A6-3BD6-BD37-2564-4FDA600E8E5E}"/>
            </a:ext>
          </a:extLst>
        </xdr:cNvPr>
        <xdr:cNvSpPr txBox="1"/>
      </xdr:nvSpPr>
      <xdr:spPr>
        <a:xfrm>
          <a:off x="210704" y="33127676"/>
          <a:ext cx="6833988" cy="647223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2023 Reclamation Plan Citations; (Does not include the most recent number of tailings spigots)</a:t>
          </a:r>
          <a:br>
            <a:rPr lang="en-US" sz="1100" b="1" i="0" u="none" strike="noStrike" baseline="0">
              <a:solidFill>
                <a:schemeClr val="dk1"/>
              </a:solidFill>
              <a:latin typeface="+mn-lt"/>
              <a:ea typeface="+mn-ea"/>
              <a:cs typeface="+mn-cs"/>
            </a:rPr>
          </a:br>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5.3.3.1 Tailings Distribution System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Tailings are pumped from the Concentrator to the YDTI as a by-product of processing. The tailings distribution system is shown in Figure OP-5-4. The tailings distribution system utilizes tailings pumps, booster pump houses, and pipelines to convey tailings from the Concentrator to the YDTI. Four tailings pump house stations (the Main Tailings Pump House, McQueen Booster Pump House, No. 2 Booster Pump House, and No. 3 Booster Pump House) provide the required pressure to pump the tailings up to the YDTI – a total elevation increase of approximately 875 feet.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Three tailings distribution pipelines (two operational and one standby) transport tailings to the YDTI. </a:t>
          </a:r>
          <a:r>
            <a:rPr lang="en-US" sz="1100" b="1" i="0" u="none" strike="noStrike" baseline="0">
              <a:solidFill>
                <a:schemeClr val="dk1"/>
              </a:solidFill>
              <a:latin typeface="+mn-lt"/>
              <a:ea typeface="+mn-ea"/>
              <a:cs typeface="+mn-cs"/>
            </a:rPr>
            <a:t>Approximately 17,000 feet (3.25 miles) of existing tailings distribution pipeline has been installed at the project site, including sections of 22-inch steel pipe and 24- to 26-inch HDPE pipe</a:t>
          </a:r>
          <a:r>
            <a:rPr lang="en-US" sz="1100" b="0" i="0" u="none" strike="noStrike" baseline="0">
              <a:solidFill>
                <a:schemeClr val="dk1"/>
              </a:solidFill>
              <a:latin typeface="+mn-lt"/>
              <a:ea typeface="+mn-ea"/>
              <a:cs typeface="+mn-cs"/>
            </a:rPr>
            <a:t>. The single-walled tailings pipeline is installed on the ground surface and locally anchored with mounds of overburden or pipe support trestles. The tailings slurry flow rate is approximately 18,000 gpm with a solids concentration (by weight) between 33 and 37 percent. </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5.3.4 Water Reclaim System </a:t>
          </a:r>
        </a:p>
        <a:p>
          <a:r>
            <a:rPr lang="en-US" sz="1100" b="0" i="0" u="none" strike="noStrike" baseline="0">
              <a:solidFill>
                <a:schemeClr val="dk1"/>
              </a:solidFill>
              <a:latin typeface="+mn-lt"/>
              <a:ea typeface="+mn-ea"/>
              <a:cs typeface="+mn-cs"/>
            </a:rPr>
            <a:t>Supernatant water is reclaimed for reuse in the mill process from the northeast end of the YDTI using floating barges. MR maintains two reclaim water pump barge units in the supernatant pond (for redundancy). Each of the barges is equipped with four vertical turbine pump units. The barge pumps deliver a total of approximately 12,000 gpm of reclaim water into a junction box located on the side slope of Rampart Mountain, approximately 1,500 feet away (50 feet elevation increase). From the junction box, reclaim water gravity discharges to the mill at an elevation decrease of approximately 875 feet, and at a distance of 5.1 miles away</a:t>
          </a:r>
          <a:r>
            <a:rPr lang="en-US" sz="1100" b="1" i="0" u="none" strike="noStrike" baseline="0">
              <a:solidFill>
                <a:schemeClr val="dk1"/>
              </a:solidFill>
              <a:latin typeface="+mn-lt"/>
              <a:ea typeface="+mn-ea"/>
              <a:cs typeface="+mn-cs"/>
            </a:rPr>
            <a:t>. The reclaim water is initially conveyed back to the Concentrator via two 36-inch diameter HDPE pipelines (0.7 miles long). As the pipeline grade steepens down to the mill, the reclaim water is conveyed by a single 42-inch-diameter HDPE pipeline. Approximately the last mile of reclaim pipeline is further downsized to a 36-inch-steel pipeline for conveyance into the Butte Concentrator facilities.</a:t>
          </a:r>
        </a:p>
        <a:p>
          <a:r>
            <a:rPr lang="en-US" sz="1100" b="1" i="0" u="none" strike="noStrike" baseline="0">
              <a:solidFill>
                <a:schemeClr val="dk1"/>
              </a:solidFill>
              <a:latin typeface="+mn-lt"/>
              <a:ea typeface="+mn-ea"/>
              <a:cs typeface="+mn-cs"/>
            </a:rPr>
            <a:t> </a:t>
          </a:r>
        </a:p>
        <a:p>
          <a:r>
            <a:rPr lang="en-US" sz="1100" b="0" i="0" u="none" strike="noStrike" baseline="0">
              <a:solidFill>
                <a:schemeClr val="dk1"/>
              </a:solidFill>
              <a:latin typeface="+mn-lt"/>
              <a:ea typeface="+mn-ea"/>
              <a:cs typeface="+mn-cs"/>
            </a:rPr>
            <a:t>The reclaim pipeline alignment follows the access road along the eastern edge of the YDTI. Immediately south of the Tailings No. 2 Booster Pump House, the reclaim pipeline enters the site pipeline corridor, which extends from the Butte Concentrator to the YDTI. As part of BMFOU water management (Pilot Project), a take-off valve has been installed in the reclaim pipeline near the McQueen Booster Pump House and a pipeline installed to the polishing facility. </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reclaim water is delivered to two locations at the Butte Concentrator: to the Concentrator building for direct use in processing and to the process water reservoir located west of the Butte Concentrator and Lime Slaker Silos. During the Pilot Project and potentially beyond mine operation, water will also be delivered to the polishing facility. </a:t>
          </a:r>
          <a:endParaRPr lang="en-US" sz="1100"/>
        </a:p>
      </xdr:txBody>
    </xdr:sp>
    <xdr:clientData/>
  </xdr:twoCellAnchor>
  <xdr:twoCellAnchor editAs="oneCell">
    <xdr:from>
      <xdr:col>2</xdr:col>
      <xdr:colOff>843753</xdr:colOff>
      <xdr:row>190</xdr:row>
      <xdr:rowOff>149758</xdr:rowOff>
    </xdr:from>
    <xdr:to>
      <xdr:col>8</xdr:col>
      <xdr:colOff>3064717</xdr:colOff>
      <xdr:row>221</xdr:row>
      <xdr:rowOff>133765</xdr:rowOff>
    </xdr:to>
    <xdr:pic>
      <xdr:nvPicPr>
        <xdr:cNvPr id="2" name="Picture 1">
          <a:extLst>
            <a:ext uri="{FF2B5EF4-FFF2-40B4-BE49-F238E27FC236}">
              <a16:creationId xmlns:a16="http://schemas.microsoft.com/office/drawing/2014/main" id="{436D62DB-933B-FC37-40D5-13745651188E}"/>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388789" y="33555294"/>
          <a:ext cx="8579309" cy="5463875"/>
        </a:xfrm>
        <a:prstGeom prst="rect">
          <a:avLst/>
        </a:prstGeom>
      </xdr:spPr>
    </xdr:pic>
    <xdr:clientData/>
  </xdr:twoCellAnchor>
  <xdr:twoCellAnchor editAs="oneCell">
    <xdr:from>
      <xdr:col>1</xdr:col>
      <xdr:colOff>106568</xdr:colOff>
      <xdr:row>271</xdr:row>
      <xdr:rowOff>127076</xdr:rowOff>
    </xdr:from>
    <xdr:to>
      <xdr:col>3</xdr:col>
      <xdr:colOff>657560</xdr:colOff>
      <xdr:row>298</xdr:row>
      <xdr:rowOff>171658</xdr:rowOff>
    </xdr:to>
    <xdr:pic>
      <xdr:nvPicPr>
        <xdr:cNvPr id="3" name="Picture 2">
          <a:extLst>
            <a:ext uri="{FF2B5EF4-FFF2-40B4-BE49-F238E27FC236}">
              <a16:creationId xmlns:a16="http://schemas.microsoft.com/office/drawing/2014/main" id="{E43FF456-B3BA-8E53-8BF9-7E911BA41BBC}"/>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930450" y="52380105"/>
          <a:ext cx="5162101" cy="5184272"/>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213523</xdr:colOff>
      <xdr:row>398</xdr:row>
      <xdr:rowOff>36674</xdr:rowOff>
    </xdr:from>
    <xdr:to>
      <xdr:col>3</xdr:col>
      <xdr:colOff>484910</xdr:colOff>
      <xdr:row>409</xdr:row>
      <xdr:rowOff>17318</xdr:rowOff>
    </xdr:to>
    <xdr:sp macro="" textlink="">
      <xdr:nvSpPr>
        <xdr:cNvPr id="6" name="TextBox 5">
          <a:extLst>
            <a:ext uri="{FF2B5EF4-FFF2-40B4-BE49-F238E27FC236}">
              <a16:creationId xmlns:a16="http://schemas.microsoft.com/office/drawing/2014/main" id="{63E6F294-3161-9179-5BBB-4164774CB806}"/>
            </a:ext>
          </a:extLst>
        </xdr:cNvPr>
        <xdr:cNvSpPr txBox="1"/>
      </xdr:nvSpPr>
      <xdr:spPr>
        <a:xfrm>
          <a:off x="213523" y="77015992"/>
          <a:ext cx="7510387" cy="20761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Assumptions: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tailings beach will gradually slope away from the embankment to the north at a typical slope of one percent.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Some topographic diversity will be created by final spigot placement.</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While no final grading is anticipated, it will be necessary to backfill and shape settlement areas before soil is placed.</a:t>
          </a:r>
          <a:br>
            <a:rPr lang="en-US" sz="1100" b="0"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DEQ estimates 10% of the tailings beach will required extra shaping</a:t>
          </a:r>
          <a:r>
            <a:rPr lang="en-US" sz="1100" b="1" i="0" u="none" strike="noStrike" baseline="0">
              <a:solidFill>
                <a:schemeClr val="dk1"/>
              </a:solidFill>
              <a:effectLst/>
              <a:latin typeface="+mn-lt"/>
              <a:ea typeface="+mn-ea"/>
              <a:cs typeface="+mn-cs"/>
            </a:rPr>
            <a:t> </a:t>
          </a:r>
          <a:r>
            <a:rPr lang="en-US" sz="1100" b="1" i="0" u="none" strike="noStrike">
              <a:solidFill>
                <a:schemeClr val="dk1"/>
              </a:solidFill>
              <a:effectLst/>
              <a:latin typeface="+mn-lt"/>
              <a:ea typeface="+mn-ea"/>
              <a:cs typeface="+mn-cs"/>
            </a:rPr>
            <a:t>or backfill</a:t>
          </a:r>
          <a:r>
            <a:rPr lang="en-US" sz="1100" b="1" i="0" u="none" strike="noStrike" baseline="0">
              <a:solidFill>
                <a:schemeClr val="dk1"/>
              </a:solidFill>
              <a:effectLst/>
              <a:latin typeface="+mn-lt"/>
              <a:ea typeface="+mn-ea"/>
              <a:cs typeface="+mn-cs"/>
            </a:rPr>
            <a:t> - this will also continue for segments of the Transition Zone into the future.</a:t>
          </a:r>
          <a:br>
            <a:rPr lang="en-US" sz="1100" b="0" i="0" u="none" strike="noStrike">
              <a:solidFill>
                <a:schemeClr val="dk1"/>
              </a:solidFill>
              <a:effectLst/>
              <a:latin typeface="+mn-lt"/>
              <a:ea typeface="+mn-ea"/>
              <a:cs typeface="+mn-cs"/>
            </a:rPr>
          </a:br>
          <a:r>
            <a:rPr lang="en-US" sz="1100" b="1" i="0" u="none" strike="noStrike">
              <a:solidFill>
                <a:sysClr val="windowText" lastClr="000000"/>
              </a:solidFill>
              <a:effectLst/>
              <a:latin typeface="+mn-lt"/>
              <a:ea typeface="+mn-ea"/>
              <a:cs typeface="+mn-cs"/>
            </a:rPr>
            <a:t>To reshape the settlement area a low ground pressure Cat D6T dozer would be used. </a:t>
          </a:r>
          <a:br>
            <a:rPr lang="en-US" sz="1100" b="0" i="0" u="none" strike="noStrike">
              <a:solidFill>
                <a:sysClr val="windowText" lastClr="000000"/>
              </a:solidFill>
              <a:effectLst/>
              <a:latin typeface="+mn-lt"/>
              <a:ea typeface="+mn-ea"/>
              <a:cs typeface="+mn-cs"/>
            </a:rPr>
          </a:br>
          <a:r>
            <a:rPr lang="en-US" sz="1100" b="1" i="0" u="none" strike="noStrike">
              <a:solidFill>
                <a:sysClr val="windowText" lastClr="000000"/>
              </a:solidFill>
              <a:effectLst/>
              <a:latin typeface="+mn-lt"/>
              <a:ea typeface="+mn-ea"/>
              <a:cs typeface="+mn-cs"/>
            </a:rPr>
            <a:t>The Cat D6T would chisel off the sides, push tailings or fill into the settlement void.</a:t>
          </a:r>
          <a:br>
            <a:rPr lang="en-US" sz="1100" b="0" i="0" u="none" strike="noStrike">
              <a:solidFill>
                <a:schemeClr val="dk1"/>
              </a:solidFill>
              <a:effectLst/>
              <a:latin typeface="+mn-lt"/>
              <a:ea typeface="+mn-ea"/>
              <a:cs typeface="+mn-cs"/>
            </a:rPr>
          </a:br>
          <a:endParaRPr lang="en-US" sz="1100" b="1" strike="sngStrike" baseline="0">
            <a:solidFill>
              <a:srgbClr val="FF0000"/>
            </a:solidFill>
          </a:endParaRPr>
        </a:p>
      </xdr:txBody>
    </xdr:sp>
    <xdr:clientData/>
  </xdr:twoCellAnchor>
  <xdr:twoCellAnchor editAs="oneCell">
    <xdr:from>
      <xdr:col>7</xdr:col>
      <xdr:colOff>538623</xdr:colOff>
      <xdr:row>359</xdr:row>
      <xdr:rowOff>46045</xdr:rowOff>
    </xdr:from>
    <xdr:to>
      <xdr:col>13</xdr:col>
      <xdr:colOff>705394</xdr:colOff>
      <xdr:row>384</xdr:row>
      <xdr:rowOff>95732</xdr:rowOff>
    </xdr:to>
    <xdr:pic>
      <xdr:nvPicPr>
        <xdr:cNvPr id="10" name="Picture 9">
          <a:extLst>
            <a:ext uri="{FF2B5EF4-FFF2-40B4-BE49-F238E27FC236}">
              <a16:creationId xmlns:a16="http://schemas.microsoft.com/office/drawing/2014/main" id="{A348DFA8-347A-A84F-4141-D01EBF2BD02A}"/>
            </a:ext>
          </a:extLst>
        </xdr:cNvPr>
        <xdr:cNvPicPr>
          <a:picLocks noChangeAspect="1"/>
        </xdr:cNvPicPr>
      </xdr:nvPicPr>
      <xdr:blipFill>
        <a:blip xmlns:r="http://schemas.openxmlformats.org/officeDocument/2006/relationships" r:embed="rId1"/>
        <a:stretch>
          <a:fillRect/>
        </a:stretch>
      </xdr:blipFill>
      <xdr:spPr>
        <a:xfrm>
          <a:off x="13193266" y="64394224"/>
          <a:ext cx="6336794" cy="4460579"/>
        </a:xfrm>
        <a:prstGeom prst="rect">
          <a:avLst/>
        </a:prstGeom>
      </xdr:spPr>
    </xdr:pic>
    <xdr:clientData/>
  </xdr:twoCellAnchor>
  <xdr:twoCellAnchor editAs="oneCell">
    <xdr:from>
      <xdr:col>7</xdr:col>
      <xdr:colOff>471054</xdr:colOff>
      <xdr:row>804</xdr:row>
      <xdr:rowOff>51955</xdr:rowOff>
    </xdr:from>
    <xdr:to>
      <xdr:col>14</xdr:col>
      <xdr:colOff>359560</xdr:colOff>
      <xdr:row>822</xdr:row>
      <xdr:rowOff>172488</xdr:rowOff>
    </xdr:to>
    <xdr:pic>
      <xdr:nvPicPr>
        <xdr:cNvPr id="12" name="Picture 11">
          <a:extLst>
            <a:ext uri="{FF2B5EF4-FFF2-40B4-BE49-F238E27FC236}">
              <a16:creationId xmlns:a16="http://schemas.microsoft.com/office/drawing/2014/main" id="{3755C9BF-0270-A0D9-26A3-344CB5E70960}"/>
            </a:ext>
          </a:extLst>
        </xdr:cNvPr>
        <xdr:cNvPicPr>
          <a:picLocks noChangeAspect="1"/>
        </xdr:cNvPicPr>
      </xdr:nvPicPr>
      <xdr:blipFill>
        <a:blip xmlns:r="http://schemas.openxmlformats.org/officeDocument/2006/relationships" r:embed="rId2"/>
        <a:stretch>
          <a:fillRect/>
        </a:stretch>
      </xdr:blipFill>
      <xdr:spPr>
        <a:xfrm>
          <a:off x="13120254" y="162357955"/>
          <a:ext cx="7021173" cy="3542605"/>
        </a:xfrm>
        <a:prstGeom prst="rect">
          <a:avLst/>
        </a:prstGeom>
        <a:ln>
          <a:solidFill>
            <a:sysClr val="windowText" lastClr="000000"/>
          </a:solidFill>
        </a:ln>
      </xdr:spPr>
    </xdr:pic>
    <xdr:clientData/>
  </xdr:twoCellAnchor>
  <xdr:twoCellAnchor editAs="oneCell">
    <xdr:from>
      <xdr:col>0</xdr:col>
      <xdr:colOff>292031</xdr:colOff>
      <xdr:row>552</xdr:row>
      <xdr:rowOff>148739</xdr:rowOff>
    </xdr:from>
    <xdr:to>
      <xdr:col>2</xdr:col>
      <xdr:colOff>288024</xdr:colOff>
      <xdr:row>585</xdr:row>
      <xdr:rowOff>22690</xdr:rowOff>
    </xdr:to>
    <xdr:pic>
      <xdr:nvPicPr>
        <xdr:cNvPr id="14" name="Picture 13">
          <a:extLst>
            <a:ext uri="{FF2B5EF4-FFF2-40B4-BE49-F238E27FC236}">
              <a16:creationId xmlns:a16="http://schemas.microsoft.com/office/drawing/2014/main" id="{6565F7B7-D0E0-6626-6744-2010F55D2112}"/>
            </a:ext>
          </a:extLst>
        </xdr:cNvPr>
        <xdr:cNvPicPr>
          <a:picLocks noChangeAspect="1"/>
        </xdr:cNvPicPr>
      </xdr:nvPicPr>
      <xdr:blipFill>
        <a:blip xmlns:r="http://schemas.openxmlformats.org/officeDocument/2006/relationships" r:embed="rId3"/>
        <a:stretch>
          <a:fillRect/>
        </a:stretch>
      </xdr:blipFill>
      <xdr:spPr>
        <a:xfrm>
          <a:off x="292031" y="99154310"/>
          <a:ext cx="7137195" cy="5719036"/>
        </a:xfrm>
        <a:prstGeom prst="rect">
          <a:avLst/>
        </a:prstGeom>
        <a:ln>
          <a:solidFill>
            <a:schemeClr val="tx1"/>
          </a:solidFill>
        </a:ln>
      </xdr:spPr>
    </xdr:pic>
    <xdr:clientData/>
  </xdr:twoCellAnchor>
  <xdr:twoCellAnchor editAs="oneCell">
    <xdr:from>
      <xdr:col>3</xdr:col>
      <xdr:colOff>128552</xdr:colOff>
      <xdr:row>552</xdr:row>
      <xdr:rowOff>154257</xdr:rowOff>
    </xdr:from>
    <xdr:to>
      <xdr:col>8</xdr:col>
      <xdr:colOff>16661</xdr:colOff>
      <xdr:row>592</xdr:row>
      <xdr:rowOff>20685</xdr:rowOff>
    </xdr:to>
    <xdr:pic>
      <xdr:nvPicPr>
        <xdr:cNvPr id="15" name="Picture 14">
          <a:extLst>
            <a:ext uri="{FF2B5EF4-FFF2-40B4-BE49-F238E27FC236}">
              <a16:creationId xmlns:a16="http://schemas.microsoft.com/office/drawing/2014/main" id="{4FF2303A-74A7-59D4-543D-320A0494D809}"/>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7585266" y="99159828"/>
          <a:ext cx="6142942" cy="6928808"/>
        </a:xfrm>
        <a:prstGeom prst="rect">
          <a:avLst/>
        </a:prstGeom>
        <a:ln>
          <a:solidFill>
            <a:schemeClr val="tx1"/>
          </a:solidFill>
        </a:ln>
      </xdr:spPr>
    </xdr:pic>
    <xdr:clientData/>
  </xdr:twoCellAnchor>
  <xdr:twoCellAnchor>
    <xdr:from>
      <xdr:col>0</xdr:col>
      <xdr:colOff>117516</xdr:colOff>
      <xdr:row>360</xdr:row>
      <xdr:rowOff>83069</xdr:rowOff>
    </xdr:from>
    <xdr:to>
      <xdr:col>2</xdr:col>
      <xdr:colOff>1388871</xdr:colOff>
      <xdr:row>375</xdr:row>
      <xdr:rowOff>158339</xdr:rowOff>
    </xdr:to>
    <xdr:sp macro="" textlink="">
      <xdr:nvSpPr>
        <xdr:cNvPr id="19" name="TextBox 18">
          <a:extLst>
            <a:ext uri="{FF2B5EF4-FFF2-40B4-BE49-F238E27FC236}">
              <a16:creationId xmlns:a16="http://schemas.microsoft.com/office/drawing/2014/main" id="{2F087C6A-A7E6-41DC-B045-012351E59900}"/>
            </a:ext>
          </a:extLst>
        </xdr:cNvPr>
        <xdr:cNvSpPr txBox="1"/>
      </xdr:nvSpPr>
      <xdr:spPr>
        <a:xfrm>
          <a:off x="117516" y="54656124"/>
          <a:ext cx="7270373" cy="277690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See</a:t>
          </a:r>
          <a:r>
            <a:rPr lang="en-US" sz="1100" b="1" baseline="0"/>
            <a:t> Description Tab for additional details. </a:t>
          </a:r>
          <a:r>
            <a:rPr lang="en-US" sz="1100" b="1"/>
            <a:t>Assumptions/Observations:</a:t>
          </a:r>
          <a:br>
            <a:rPr lang="en-US" sz="1100" b="1"/>
          </a:br>
          <a:endParaRPr lang="en-US" sz="1100" b="1"/>
        </a:p>
        <a:p>
          <a:r>
            <a:rPr lang="en-US" sz="1100" b="1"/>
            <a:t>Roads- </a:t>
          </a:r>
          <a:r>
            <a:rPr lang="en-US" sz="1100"/>
            <a:t>Road</a:t>
          </a:r>
          <a:r>
            <a:rPr lang="en-US" sz="1100" baseline="0"/>
            <a:t> width may vary from 20-100 feet. W</a:t>
          </a:r>
          <a:r>
            <a:rPr lang="en-US" sz="1100"/>
            <a:t>ithout further details about</a:t>
          </a:r>
          <a:r>
            <a:rPr lang="en-US" sz="1100" baseline="0"/>
            <a:t> road segments (length and area) that would be retained versus the road areas that would be reclaimed-- </a:t>
          </a:r>
          <a:r>
            <a:rPr lang="en-US" sz="1100" b="1" baseline="0"/>
            <a:t>it is assumed th</a:t>
          </a:r>
          <a:r>
            <a:rPr lang="en-US" sz="1100" b="1"/>
            <a:t>at the road acreage (post-1974</a:t>
          </a:r>
          <a:r>
            <a:rPr lang="en-US" sz="1100" b="1" baseline="0"/>
            <a:t> area) </a:t>
          </a:r>
          <a:r>
            <a:rPr lang="en-US" sz="1100" b="1"/>
            <a:t>will be reduced by 50% through reclamation. This can also be visualized as reducing the existing road widths by half (by</a:t>
          </a:r>
          <a:r>
            <a:rPr lang="en-US" sz="1100" b="1" baseline="0"/>
            <a:t> </a:t>
          </a:r>
          <a:r>
            <a:rPr lang="en-US" sz="1100" b="1"/>
            <a:t>~10-50 ft)</a:t>
          </a:r>
          <a:r>
            <a:rPr lang="en-US" sz="1100"/>
            <a:t>. Like</a:t>
          </a:r>
          <a:r>
            <a:rPr lang="en-US" sz="1100" baseline="0"/>
            <a:t> other misc. disturbance acres, i</a:t>
          </a:r>
          <a:r>
            <a:rPr lang="en-US" sz="1100"/>
            <a:t>t is assumed that half of the</a:t>
          </a:r>
          <a:r>
            <a:rPr lang="en-US" sz="1100" baseline="0"/>
            <a:t> reclaimed road acreage will need to be corrected for slope area.</a:t>
          </a:r>
          <a:br>
            <a:rPr lang="en-US" sz="1100" baseline="0"/>
          </a:br>
          <a:br>
            <a:rPr lang="en-US" sz="1100" baseline="0"/>
          </a:br>
          <a:r>
            <a:rPr lang="en-US" sz="1100" b="1" i="0">
              <a:solidFill>
                <a:schemeClr val="dk1"/>
              </a:solidFill>
              <a:effectLst/>
              <a:latin typeface="+mn-lt"/>
              <a:ea typeface="+mn-ea"/>
              <a:cs typeface="+mn-cs"/>
            </a:rPr>
            <a:t>TSF Embankment</a:t>
          </a:r>
          <a:r>
            <a:rPr lang="en-US" sz="1100" b="1" i="0" baseline="0">
              <a:solidFill>
                <a:schemeClr val="dk1"/>
              </a:solidFill>
              <a:effectLst/>
              <a:latin typeface="+mn-lt"/>
              <a:ea typeface="+mn-ea"/>
              <a:cs typeface="+mn-cs"/>
            </a:rPr>
            <a:t> Crests--  </a:t>
          </a:r>
          <a:r>
            <a:rPr lang="en-US" sz="1100" b="0">
              <a:solidFill>
                <a:schemeClr val="dk1"/>
              </a:solidFill>
              <a:effectLst/>
              <a:latin typeface="+mn-lt"/>
              <a:ea typeface="+mn-ea"/>
              <a:cs typeface="+mn-cs"/>
            </a:rPr>
            <a:t>All crest</a:t>
          </a:r>
          <a:r>
            <a:rPr lang="en-US" sz="1100" b="0" baseline="0">
              <a:solidFill>
                <a:schemeClr val="dk1"/>
              </a:solidFill>
              <a:effectLst/>
              <a:latin typeface="+mn-lt"/>
              <a:ea typeface="+mn-ea"/>
              <a:cs typeface="+mn-cs"/>
            </a:rPr>
            <a:t> elevations = 6,450 ft</a:t>
          </a:r>
          <a:endParaRPr lang="en-US">
            <a:effectLst/>
          </a:endParaRPr>
        </a:p>
        <a:p>
          <a:r>
            <a:rPr lang="en-US" sz="1100" b="1">
              <a:solidFill>
                <a:schemeClr val="dk1"/>
              </a:solidFill>
              <a:effectLst/>
              <a:latin typeface="+mn-lt"/>
              <a:ea typeface="+mn-ea"/>
              <a:cs typeface="+mn-cs"/>
            </a:rPr>
            <a:t>- </a:t>
          </a:r>
          <a:r>
            <a:rPr lang="en-US" sz="1100" b="0" i="0">
              <a:solidFill>
                <a:schemeClr val="dk1"/>
              </a:solidFill>
              <a:effectLst/>
              <a:latin typeface="+mn-lt"/>
              <a:ea typeface="+mn-ea"/>
              <a:cs typeface="+mn-cs"/>
            </a:rPr>
            <a:t>N-S Embankment: 6,500 feet long</a:t>
          </a:r>
          <a:endParaRPr lang="en-US">
            <a:effectLst/>
          </a:endParaRPr>
        </a:p>
        <a:p>
          <a:r>
            <a:rPr lang="en-US" sz="1100" b="0" i="0">
              <a:solidFill>
                <a:schemeClr val="dk1"/>
              </a:solidFill>
              <a:effectLst/>
              <a:latin typeface="+mn-lt"/>
              <a:ea typeface="+mn-ea"/>
              <a:cs typeface="+mn-cs"/>
            </a:rPr>
            <a:t>- E-W Embankment:</a:t>
          </a:r>
          <a:r>
            <a:rPr lang="en-US" sz="1100" b="0" i="0" baseline="0">
              <a:solidFill>
                <a:schemeClr val="dk1"/>
              </a:solidFill>
              <a:effectLst/>
              <a:latin typeface="+mn-lt"/>
              <a:ea typeface="+mn-ea"/>
              <a:cs typeface="+mn-cs"/>
            </a:rPr>
            <a:t> 5,500 feet long</a:t>
          </a:r>
          <a:endParaRPr lang="en-US">
            <a:effectLst/>
          </a:endParaRPr>
        </a:p>
        <a:p>
          <a:r>
            <a:rPr lang="en-US" sz="1100" b="0" i="0" baseline="0">
              <a:solidFill>
                <a:schemeClr val="dk1"/>
              </a:solidFill>
              <a:effectLst/>
              <a:latin typeface="+mn-lt"/>
              <a:ea typeface="+mn-ea"/>
              <a:cs typeface="+mn-cs"/>
            </a:rPr>
            <a:t>- West Embankment: 6,800 feet long</a:t>
          </a:r>
          <a:endParaRPr lang="en-US">
            <a:effectLst/>
          </a:endParaRPr>
        </a:p>
        <a:p>
          <a:br>
            <a:rPr lang="en-US" sz="1100" b="0" i="0" baseline="0">
              <a:solidFill>
                <a:schemeClr val="dk1"/>
              </a:solidFill>
              <a:effectLst/>
              <a:latin typeface="+mn-lt"/>
              <a:ea typeface="+mn-ea"/>
              <a:cs typeface="+mn-cs"/>
            </a:rPr>
          </a:br>
          <a:r>
            <a:rPr lang="en-US" sz="1100" b="0" i="0">
              <a:solidFill>
                <a:schemeClr val="dk1"/>
              </a:solidFill>
              <a:effectLst/>
              <a:latin typeface="+mn-lt"/>
              <a:ea typeface="+mn-ea"/>
              <a:cs typeface="+mn-cs"/>
            </a:rPr>
            <a:t>The crest on each embankment limb would be</a:t>
          </a:r>
          <a:r>
            <a:rPr lang="en-US" sz="1100" b="0" i="0" baseline="0">
              <a:solidFill>
                <a:schemeClr val="dk1"/>
              </a:solidFill>
              <a:effectLst/>
              <a:latin typeface="+mn-lt"/>
              <a:ea typeface="+mn-ea"/>
              <a:cs typeface="+mn-cs"/>
            </a:rPr>
            <a:t> ripped p</a:t>
          </a:r>
          <a:r>
            <a:rPr lang="en-US" sz="1100" b="0" i="0">
              <a:solidFill>
                <a:schemeClr val="dk1"/>
              </a:solidFill>
              <a:effectLst/>
              <a:latin typeface="+mn-lt"/>
              <a:ea typeface="+mn-ea"/>
              <a:cs typeface="+mn-cs"/>
            </a:rPr>
            <a:t>rior to soil placement. An access road (assume 50 ft wide) along the top of each crest will remain for pos-closure</a:t>
          </a:r>
          <a:r>
            <a:rPr lang="en-US" sz="1100" b="0" i="0" baseline="0">
              <a:solidFill>
                <a:schemeClr val="dk1"/>
              </a:solidFill>
              <a:effectLst/>
              <a:latin typeface="+mn-lt"/>
              <a:ea typeface="+mn-ea"/>
              <a:cs typeface="+mn-cs"/>
            </a:rPr>
            <a:t> access and </a:t>
          </a:r>
          <a:r>
            <a:rPr lang="en-US" sz="1100" b="0" i="0">
              <a:solidFill>
                <a:schemeClr val="dk1"/>
              </a:solidFill>
              <a:effectLst/>
              <a:latin typeface="+mn-lt"/>
              <a:ea typeface="+mn-ea"/>
              <a:cs typeface="+mn-cs"/>
            </a:rPr>
            <a:t>monitoring.</a:t>
          </a:r>
          <a:endParaRPr lang="en-US">
            <a:effectLst/>
          </a:endParaRPr>
        </a:p>
        <a:p>
          <a:endParaRPr lang="en-US" sz="1100" baseline="0"/>
        </a:p>
      </xdr:txBody>
    </xdr:sp>
    <xdr:clientData/>
  </xdr:twoCellAnchor>
  <xdr:twoCellAnchor editAs="oneCell">
    <xdr:from>
      <xdr:col>5</xdr:col>
      <xdr:colOff>142034</xdr:colOff>
      <xdr:row>473</xdr:row>
      <xdr:rowOff>108857</xdr:rowOff>
    </xdr:from>
    <xdr:to>
      <xdr:col>11</xdr:col>
      <xdr:colOff>434386</xdr:colOff>
      <xdr:row>499</xdr:row>
      <xdr:rowOff>54049</xdr:rowOff>
    </xdr:to>
    <xdr:pic>
      <xdr:nvPicPr>
        <xdr:cNvPr id="20" name="Picture 19">
          <a:extLst>
            <a:ext uri="{FF2B5EF4-FFF2-40B4-BE49-F238E27FC236}">
              <a16:creationId xmlns:a16="http://schemas.microsoft.com/office/drawing/2014/main" id="{A0099478-75B2-4E8E-B593-82604C69881F}"/>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0673963" y="85031036"/>
          <a:ext cx="6883529" cy="4544406"/>
        </a:xfrm>
        <a:prstGeom prst="rect">
          <a:avLst/>
        </a:prstGeom>
        <a:ln>
          <a:solidFill>
            <a:schemeClr val="tx1"/>
          </a:solidFill>
        </a:ln>
      </xdr:spPr>
    </xdr:pic>
    <xdr:clientData/>
  </xdr:twoCellAnchor>
  <xdr:twoCellAnchor editAs="oneCell">
    <xdr:from>
      <xdr:col>11</xdr:col>
      <xdr:colOff>684714</xdr:colOff>
      <xdr:row>474</xdr:row>
      <xdr:rowOff>45101</xdr:rowOff>
    </xdr:from>
    <xdr:to>
      <xdr:col>17</xdr:col>
      <xdr:colOff>170095</xdr:colOff>
      <xdr:row>499</xdr:row>
      <xdr:rowOff>55198</xdr:rowOff>
    </xdr:to>
    <xdr:pic>
      <xdr:nvPicPr>
        <xdr:cNvPr id="21" name="Picture 20">
          <a:extLst>
            <a:ext uri="{FF2B5EF4-FFF2-40B4-BE49-F238E27FC236}">
              <a16:creationId xmlns:a16="http://schemas.microsoft.com/office/drawing/2014/main" id="{73498198-BA54-4533-A628-3030D5532363}"/>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7748071" y="85144172"/>
          <a:ext cx="6238334" cy="4422893"/>
        </a:xfrm>
        <a:prstGeom prst="rect">
          <a:avLst/>
        </a:prstGeom>
        <a:ln>
          <a:solidFill>
            <a:sysClr val="windowText" lastClr="000000"/>
          </a:solidFill>
        </a:ln>
      </xdr:spPr>
    </xdr:pic>
    <xdr:clientData/>
  </xdr:twoCellAnchor>
  <xdr:twoCellAnchor editAs="oneCell">
    <xdr:from>
      <xdr:col>11</xdr:col>
      <xdr:colOff>686592</xdr:colOff>
      <xdr:row>500</xdr:row>
      <xdr:rowOff>4130</xdr:rowOff>
    </xdr:from>
    <xdr:to>
      <xdr:col>17</xdr:col>
      <xdr:colOff>110490</xdr:colOff>
      <xdr:row>521</xdr:row>
      <xdr:rowOff>95606</xdr:rowOff>
    </xdr:to>
    <xdr:pic>
      <xdr:nvPicPr>
        <xdr:cNvPr id="22" name="Picture 21">
          <a:extLst>
            <a:ext uri="{FF2B5EF4-FFF2-40B4-BE49-F238E27FC236}">
              <a16:creationId xmlns:a16="http://schemas.microsoft.com/office/drawing/2014/main" id="{7D06963E-DCEE-407F-A9E3-58719E2823AA}"/>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7749949" y="89702416"/>
          <a:ext cx="6153991" cy="3845415"/>
        </a:xfrm>
        <a:prstGeom prst="rect">
          <a:avLst/>
        </a:prstGeom>
        <a:ln>
          <a:solidFill>
            <a:sysClr val="windowText" lastClr="000000"/>
          </a:solidFill>
        </a:ln>
      </xdr:spPr>
    </xdr:pic>
    <xdr:clientData/>
  </xdr:twoCellAnchor>
  <xdr:twoCellAnchor editAs="oneCell">
    <xdr:from>
      <xdr:col>0</xdr:col>
      <xdr:colOff>285374</xdr:colOff>
      <xdr:row>939</xdr:row>
      <xdr:rowOff>45955</xdr:rowOff>
    </xdr:from>
    <xdr:to>
      <xdr:col>2</xdr:col>
      <xdr:colOff>326497</xdr:colOff>
      <xdr:row>967</xdr:row>
      <xdr:rowOff>132895</xdr:rowOff>
    </xdr:to>
    <xdr:pic>
      <xdr:nvPicPr>
        <xdr:cNvPr id="27" name="Picture 26">
          <a:extLst>
            <a:ext uri="{FF2B5EF4-FFF2-40B4-BE49-F238E27FC236}">
              <a16:creationId xmlns:a16="http://schemas.microsoft.com/office/drawing/2014/main" id="{3BC58A66-C64D-4DE4-90DB-F082843111DF}"/>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285374" y="194498830"/>
          <a:ext cx="7009910" cy="5420939"/>
        </a:xfrm>
        <a:prstGeom prst="rect">
          <a:avLst/>
        </a:prstGeom>
        <a:ln>
          <a:solidFill>
            <a:sysClr val="windowText" lastClr="000000"/>
          </a:solidFill>
        </a:ln>
      </xdr:spPr>
    </xdr:pic>
    <xdr:clientData/>
  </xdr:twoCellAnchor>
  <xdr:twoCellAnchor>
    <xdr:from>
      <xdr:col>0</xdr:col>
      <xdr:colOff>190499</xdr:colOff>
      <xdr:row>902</xdr:row>
      <xdr:rowOff>136073</xdr:rowOff>
    </xdr:from>
    <xdr:to>
      <xdr:col>3</xdr:col>
      <xdr:colOff>1428751</xdr:colOff>
      <xdr:row>936</xdr:row>
      <xdr:rowOff>96982</xdr:rowOff>
    </xdr:to>
    <xdr:sp macro="" textlink="">
      <xdr:nvSpPr>
        <xdr:cNvPr id="29" name="TextBox 28">
          <a:extLst>
            <a:ext uri="{FF2B5EF4-FFF2-40B4-BE49-F238E27FC236}">
              <a16:creationId xmlns:a16="http://schemas.microsoft.com/office/drawing/2014/main" id="{9B4BCF66-AF62-4CFE-AF5E-59D1B4888832}"/>
            </a:ext>
          </a:extLst>
        </xdr:cNvPr>
        <xdr:cNvSpPr txBox="1"/>
      </xdr:nvSpPr>
      <xdr:spPr>
        <a:xfrm>
          <a:off x="190499" y="178291673"/>
          <a:ext cx="8691997" cy="60846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mn-lt"/>
              <a:ea typeface="+mn-ea"/>
              <a:cs typeface="+mn-cs"/>
            </a:rPr>
            <a:t>2023 Reclamation Plan Citations:</a:t>
          </a:r>
          <a:br>
            <a:rPr lang="en-US" sz="1100" b="1">
              <a:solidFill>
                <a:sysClr val="windowText" lastClr="000000"/>
              </a:solidFill>
              <a:effectLst/>
              <a:latin typeface="+mn-lt"/>
              <a:ea typeface="+mn-ea"/>
              <a:cs typeface="+mn-cs"/>
            </a:rPr>
          </a:br>
          <a:r>
            <a:rPr lang="en-US" sz="1100" b="1">
              <a:solidFill>
                <a:sysClr val="windowText" lastClr="000000"/>
              </a:solidFill>
              <a:effectLst/>
              <a:latin typeface="+mn-lt"/>
              <a:ea typeface="+mn-ea"/>
              <a:cs typeface="+mn-cs"/>
            </a:rPr>
            <a:t>3.1 POST-CLOSURE FINAL GRADING AND TOPOGRAPHY</a:t>
          </a:r>
          <a:endParaRPr lang="en-US">
            <a:solidFill>
              <a:sysClr val="windowText" lastClr="000000"/>
            </a:solidFill>
            <a:effectLst/>
          </a:endParaRPr>
        </a:p>
        <a:p>
          <a:r>
            <a:rPr lang="en-US" sz="1100">
              <a:solidFill>
                <a:sysClr val="windowText" lastClr="000000"/>
              </a:solidFill>
              <a:effectLst/>
              <a:latin typeface="+mn-lt"/>
              <a:ea typeface="+mn-ea"/>
              <a:cs typeface="+mn-cs"/>
            </a:rPr>
            <a:t>As part of final reclamation, runoff swales and/or ditches will be constructed along reclaimed slopes as needed for runoff and erosion control (ARM 17.24.115(d)). </a:t>
          </a:r>
          <a:r>
            <a:rPr lang="en-US" sz="1100" b="1">
              <a:solidFill>
                <a:sysClr val="windowText" lastClr="000000"/>
              </a:solidFill>
              <a:effectLst/>
              <a:latin typeface="+mn-lt"/>
              <a:ea typeface="+mn-ea"/>
              <a:cs typeface="+mn-cs"/>
            </a:rPr>
            <a:t>Initial design concepts include grass-lined swales in the upper reaches of drainages, transitioning to riprap-lined ditches in the lower reaches where flow velocities warrant (Figure RP-7-1; Exhibit RP-2).</a:t>
          </a:r>
          <a:br>
            <a:rPr lang="en-US" sz="1100" b="1">
              <a:solidFill>
                <a:sysClr val="windowText" lastClr="000000"/>
              </a:solidFill>
              <a:effectLst/>
              <a:latin typeface="+mn-lt"/>
              <a:ea typeface="+mn-ea"/>
              <a:cs typeface="+mn-cs"/>
            </a:rPr>
          </a:br>
          <a:br>
            <a:rPr lang="en-US" sz="1100" b="1">
              <a:solidFill>
                <a:sysClr val="windowText" lastClr="000000"/>
              </a:solidFill>
              <a:effectLst/>
              <a:latin typeface="+mn-lt"/>
              <a:ea typeface="+mn-ea"/>
              <a:cs typeface="+mn-cs"/>
            </a:rPr>
          </a:br>
          <a:r>
            <a:rPr lang="en-US" sz="1100" b="1">
              <a:solidFill>
                <a:sysClr val="windowText" lastClr="000000"/>
              </a:solidFill>
              <a:effectLst/>
              <a:latin typeface="+mn-lt"/>
              <a:ea typeface="+mn-ea"/>
              <a:cs typeface="+mn-cs"/>
            </a:rPr>
            <a:t>All drainage structures, including drainage ditches A, B and C, and the upgraded Clearwater Ditch would be designed to safely convey runoff generated from the 100 year-24 hour storm event, including riprapping where flow velocities warrant. Stormwater settling basins would be placed along major drainageways to slow flow velocities and allow for settling of entrained sediment</a:t>
          </a:r>
          <a:r>
            <a:rPr lang="en-US" sz="1100">
              <a:solidFill>
                <a:sysClr val="windowText" lastClr="000000"/>
              </a:solidFill>
              <a:effectLst/>
              <a:latin typeface="+mn-lt"/>
              <a:ea typeface="+mn-ea"/>
              <a:cs typeface="+mn-cs"/>
            </a:rPr>
            <a:t>. All stormwater drainage structures and provisions would be detailed in a post-closure erosion control plan. As currently planned, all stormwater runoff would report to the south mine boundary and Clearwater Ditch for direct discharge to Silver Bow Creek, if water quality allows. </a:t>
          </a:r>
          <a:endParaRPr lang="en-US">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br>
            <a:rPr lang="en-US" sz="1100" b="1" i="0" u="none" strike="noStrike">
              <a:solidFill>
                <a:sysClr val="windowText" lastClr="000000"/>
              </a:solidFill>
              <a:effectLst/>
              <a:latin typeface="+mn-lt"/>
              <a:ea typeface="+mn-ea"/>
              <a:cs typeface="+mn-cs"/>
            </a:rPr>
          </a:br>
          <a:r>
            <a:rPr lang="en-US" sz="1100" b="1" i="0" u="none" strike="noStrike">
              <a:solidFill>
                <a:sysClr val="windowText" lastClr="000000"/>
              </a:solidFill>
              <a:effectLst/>
              <a:latin typeface="+mn-lt"/>
              <a:ea typeface="+mn-ea"/>
              <a:cs typeface="+mn-cs"/>
            </a:rPr>
            <a:t>Assumptions/Observations</a:t>
          </a:r>
          <a:r>
            <a:rPr lang="en-US" sz="1100" b="0" i="0" u="none" strike="noStrike">
              <a:solidFill>
                <a:sysClr val="windowText" lastClr="000000"/>
              </a:solidFill>
              <a:effectLst/>
              <a:latin typeface="+mn-lt"/>
              <a:ea typeface="+mn-ea"/>
              <a:cs typeface="+mn-cs"/>
            </a:rPr>
            <a:t>:</a:t>
          </a:r>
          <a:br>
            <a:rPr lang="en-US" sz="1100" b="0" i="0" u="none" strike="noStrike">
              <a:solidFill>
                <a:sysClr val="windowText" lastClr="000000"/>
              </a:solidFill>
              <a:effectLst/>
              <a:latin typeface="+mn-lt"/>
              <a:ea typeface="+mn-ea"/>
              <a:cs typeface="+mn-cs"/>
            </a:rPr>
          </a:br>
          <a:r>
            <a:rPr lang="en-US" sz="1100" b="0" i="0" baseline="0">
              <a:solidFill>
                <a:sysClr val="windowText" lastClr="000000"/>
              </a:solidFill>
              <a:effectLst/>
              <a:latin typeface="+mn-lt"/>
              <a:ea typeface="+mn-ea"/>
              <a:cs typeface="+mn-cs"/>
            </a:rPr>
            <a:t>After the slopes are recontoured to the final configuration, a survey party will locate the surface water ditches. A survey party fee of 15% is also included. </a:t>
          </a:r>
          <a:r>
            <a:rPr lang="en-US" sz="1100" b="0" i="0" u="none" strike="noStrike">
              <a:solidFill>
                <a:sysClr val="windowText" lastClr="000000"/>
              </a:solidFill>
              <a:effectLst/>
              <a:latin typeface="+mn-lt"/>
              <a:ea typeface="+mn-ea"/>
              <a:cs typeface="+mn-cs"/>
            </a:rPr>
            <a:t>To break up the long reclaimed slopes, benches or drainage swales will be cut every 100 feet</a:t>
          </a:r>
          <a:r>
            <a:rPr lang="en-US" sz="1100" b="0" i="0" u="none" strike="noStrike" baseline="0">
              <a:solidFill>
                <a:sysClr val="windowText" lastClr="000000"/>
              </a:solidFill>
              <a:effectLst/>
              <a:latin typeface="+mn-lt"/>
              <a:ea typeface="+mn-ea"/>
              <a:cs typeface="+mn-cs"/>
            </a:rPr>
            <a:t> (vertical). </a:t>
          </a:r>
          <a:r>
            <a:rPr lang="en-US" sz="1100" b="0" i="0">
              <a:solidFill>
                <a:sysClr val="windowText" lastClr="000000"/>
              </a:solidFill>
              <a:effectLst/>
              <a:latin typeface="+mn-lt"/>
              <a:ea typeface="+mn-ea"/>
              <a:cs typeface="+mn-cs"/>
            </a:rPr>
            <a:t>A D8T dozer can cut, shape, and finish blading 100 linear feet of ditch per hour. To construct the ditches along the slope, a dozer would walk back out to the slopes, and using the blade to push the muck downslope creating a berm with a "U" bottom. </a:t>
          </a:r>
          <a:br>
            <a:rPr lang="en-US" sz="1100" b="0" i="0">
              <a:solidFill>
                <a:sysClr val="windowText" lastClr="000000"/>
              </a:solidFill>
              <a:effectLst/>
              <a:latin typeface="+mn-lt"/>
              <a:ea typeface="+mn-ea"/>
              <a:cs typeface="+mn-cs"/>
            </a:rPr>
          </a:br>
          <a:br>
            <a:rPr lang="en-US" sz="1100" b="0" i="0">
              <a:solidFill>
                <a:sysClr val="windowText" lastClr="000000"/>
              </a:solidFill>
              <a:effectLst/>
              <a:latin typeface="+mn-lt"/>
              <a:ea typeface="+mn-ea"/>
              <a:cs typeface="+mn-cs"/>
            </a:rPr>
          </a:br>
          <a:r>
            <a:rPr lang="en-US" sz="1100" b="0" i="0">
              <a:solidFill>
                <a:sysClr val="windowText" lastClr="000000"/>
              </a:solidFill>
              <a:effectLst/>
              <a:latin typeface="+mn-lt"/>
              <a:ea typeface="+mn-ea"/>
              <a:cs typeface="+mn-cs"/>
            </a:rPr>
            <a:t>- For the N-S Embankment, approximately 19,500 feet (6,500 X 3) of ditches would need to be constructed (assuming ~350 ft high slope).</a:t>
          </a:r>
          <a:br>
            <a:rPr lang="en-US" sz="1100" b="0" i="0">
              <a:solidFill>
                <a:sysClr val="windowText" lastClr="000000"/>
              </a:solidFill>
              <a:effectLst/>
              <a:latin typeface="+mn-lt"/>
              <a:ea typeface="+mn-ea"/>
              <a:cs typeface="+mn-cs"/>
            </a:rPr>
          </a:br>
          <a:r>
            <a:rPr lang="en-US" sz="1100" b="0" i="0">
              <a:solidFill>
                <a:sysClr val="windowText" lastClr="000000"/>
              </a:solidFill>
              <a:effectLst/>
              <a:latin typeface="+mn-lt"/>
              <a:ea typeface="+mn-ea"/>
              <a:cs typeface="+mn-cs"/>
            </a:rPr>
            <a:t>- For the E-W Embankment, approximately 16,500 feet (5,500 X 3)of ditches would need to be constructed (assuming ~360 ft high slope).</a:t>
          </a:r>
          <a:br>
            <a:rPr lang="en-US" sz="1100" b="0" i="0">
              <a:solidFill>
                <a:sysClr val="windowText" lastClr="000000"/>
              </a:solidFill>
              <a:effectLst/>
              <a:latin typeface="+mn-lt"/>
              <a:ea typeface="+mn-ea"/>
              <a:cs typeface="+mn-cs"/>
            </a:rPr>
          </a:br>
          <a:r>
            <a:rPr lang="en-US" sz="1100" b="0" i="0">
              <a:solidFill>
                <a:sysClr val="windowText" lastClr="000000"/>
              </a:solidFill>
              <a:effectLst/>
              <a:latin typeface="+mn-lt"/>
              <a:ea typeface="+mn-ea"/>
              <a:cs typeface="+mn-cs"/>
            </a:rPr>
            <a:t>- The downstream West Embankment toes into native ground, therefore no surface water ditches will be necessary.</a:t>
          </a:r>
          <a:br>
            <a:rPr lang="en-US" sz="1100" b="0" i="0">
              <a:solidFill>
                <a:sysClr val="windowText" lastClr="000000"/>
              </a:solidFill>
              <a:effectLst/>
              <a:latin typeface="+mn-lt"/>
              <a:ea typeface="+mn-ea"/>
              <a:cs typeface="+mn-cs"/>
            </a:rPr>
          </a:br>
          <a:r>
            <a:rPr lang="en-US" sz="1100" b="0" i="0">
              <a:solidFill>
                <a:sysClr val="windowText" lastClr="000000"/>
              </a:solidFill>
              <a:effectLst/>
              <a:latin typeface="+mn-lt"/>
              <a:ea typeface="+mn-ea"/>
              <a:cs typeface="+mn-cs"/>
            </a:rPr>
            <a:t>-  Other channel lengths have been measured</a:t>
          </a:r>
          <a:r>
            <a:rPr lang="en-US" sz="1100" b="0" i="0" baseline="0">
              <a:solidFill>
                <a:sysClr val="windowText" lastClr="000000"/>
              </a:solidFill>
              <a:effectLst/>
              <a:latin typeface="+mn-lt"/>
              <a:ea typeface="+mn-ea"/>
              <a:cs typeface="+mn-cs"/>
            </a:rPr>
            <a:t> in previous bond reviews.</a:t>
          </a:r>
          <a:br>
            <a:rPr lang="en-US" sz="1100" b="0" i="0" baseline="0">
              <a:solidFill>
                <a:sysClr val="windowText" lastClr="000000"/>
              </a:solidFill>
              <a:effectLst/>
              <a:latin typeface="+mn-lt"/>
              <a:ea typeface="+mn-ea"/>
              <a:cs typeface="+mn-cs"/>
            </a:rPr>
          </a:br>
          <a:r>
            <a:rPr lang="en-US" sz="1100" b="0" i="0" baseline="0">
              <a:solidFill>
                <a:sysClr val="windowText" lastClr="000000"/>
              </a:solidFill>
              <a:effectLst/>
              <a:latin typeface="+mn-lt"/>
              <a:ea typeface="+mn-ea"/>
              <a:cs typeface="+mn-cs"/>
            </a:rPr>
            <a:t>The 2023 Reclamation Plan includes additional primary ditches (Ditch A, B, C, and Clearwater), some portions are contained in pre-1974 acres (already bonded at $500/acre).</a:t>
          </a:r>
          <a:endParaRPr lang="en-US">
            <a:solidFill>
              <a:sysClr val="windowText" lastClr="000000"/>
            </a:solidFill>
            <a:effectLst/>
          </a:endParaRPr>
        </a:p>
        <a:p>
          <a:endParaRPr lang="en-US" sz="1100" b="0" i="0" u="none" strike="noStrike">
            <a:solidFill>
              <a:sysClr val="windowText" lastClr="000000"/>
            </a:solidFill>
            <a:effectLst/>
            <a:latin typeface="+mn-lt"/>
            <a:ea typeface="+mn-ea"/>
            <a:cs typeface="+mn-cs"/>
          </a:endParaRPr>
        </a:p>
        <a:p>
          <a:r>
            <a:rPr lang="en-US" sz="1100" b="0" i="0">
              <a:solidFill>
                <a:sysClr val="windowText" lastClr="000000"/>
              </a:solidFill>
              <a:effectLst/>
              <a:latin typeface="+mn-lt"/>
              <a:ea typeface="+mn-ea"/>
              <a:cs typeface="+mn-cs"/>
            </a:rPr>
            <a:t>Initial designs indicate the typical ditches</a:t>
          </a:r>
          <a:r>
            <a:rPr lang="en-US" sz="1100" b="0" i="0" baseline="0">
              <a:solidFill>
                <a:sysClr val="windowText" lastClr="000000"/>
              </a:solidFill>
              <a:effectLst/>
              <a:latin typeface="+mn-lt"/>
              <a:ea typeface="+mn-ea"/>
              <a:cs typeface="+mn-cs"/>
            </a:rPr>
            <a:t> will b</a:t>
          </a:r>
          <a:r>
            <a:rPr lang="en-US" sz="1100" b="0" i="0">
              <a:solidFill>
                <a:sysClr val="windowText" lastClr="000000"/>
              </a:solidFill>
              <a:effectLst/>
              <a:latin typeface="+mn-lt"/>
              <a:ea typeface="+mn-ea"/>
              <a:cs typeface="+mn-cs"/>
            </a:rPr>
            <a:t>e trapezoid shape, approximately 20 feet wide, so a 20 ton articulating truck and hydraulic excavator can place rip rap. </a:t>
          </a:r>
          <a:r>
            <a:rPr lang="en-US" sz="1100" b="1" i="0">
              <a:solidFill>
                <a:sysClr val="windowText" lastClr="000000"/>
              </a:solidFill>
              <a:effectLst/>
              <a:latin typeface="+mn-lt"/>
              <a:ea typeface="+mn-ea"/>
              <a:cs typeface="+mn-cs"/>
            </a:rPr>
            <a:t>Along roads, rip rap placement</a:t>
          </a:r>
          <a:r>
            <a:rPr lang="en-US" sz="1100" b="1" i="0" baseline="0">
              <a:solidFill>
                <a:sysClr val="windowText" lastClr="000000"/>
              </a:solidFill>
              <a:effectLst/>
              <a:latin typeface="+mn-lt"/>
              <a:ea typeface="+mn-ea"/>
              <a:cs typeface="+mn-cs"/>
            </a:rPr>
            <a:t> would occur in collector ditches adjacent to to the road, with the ditches being trapezoid shape and average 10 feet wide at the top. </a:t>
          </a:r>
          <a:r>
            <a:rPr lang="en-US" sz="1100" b="0" i="0">
              <a:solidFill>
                <a:sysClr val="windowText" lastClr="000000"/>
              </a:solidFill>
              <a:effectLst/>
              <a:latin typeface="+mn-lt"/>
              <a:ea typeface="+mn-ea"/>
              <a:cs typeface="+mn-cs"/>
            </a:rPr>
            <a:t>Additional settling basins would be designed in the final plan, but assume 0.1 acre for each feature.</a:t>
          </a:r>
          <a:endParaRPr lang="en-US">
            <a:solidFill>
              <a:sysClr val="windowText" lastClr="000000"/>
            </a:solidFill>
            <a:effectLst/>
          </a:endParaRPr>
        </a:p>
        <a:p>
          <a:endParaRPr lang="en-US" sz="1100" b="0" i="0" baseline="0">
            <a:solidFill>
              <a:sysClr val="windowText" lastClr="000000"/>
            </a:solidFill>
            <a:effectLst/>
            <a:latin typeface="+mn-lt"/>
            <a:ea typeface="+mn-ea"/>
            <a:cs typeface="+mn-cs"/>
          </a:endParaRPr>
        </a:p>
        <a:p>
          <a:r>
            <a:rPr lang="en-US" sz="1100" b="0" i="0">
              <a:solidFill>
                <a:sysClr val="windowText" lastClr="000000"/>
              </a:solidFill>
              <a:effectLst/>
              <a:latin typeface="+mn-lt"/>
              <a:ea typeface="+mn-ea"/>
              <a:cs typeface="+mn-cs"/>
            </a:rPr>
            <a:t>The rip rap will be brought in from offsite, assuming that</a:t>
          </a:r>
          <a:r>
            <a:rPr lang="en-US" sz="1100" b="0" i="0" baseline="0">
              <a:solidFill>
                <a:sysClr val="windowText" lastClr="000000"/>
              </a:solidFill>
              <a:effectLst/>
              <a:latin typeface="+mn-lt"/>
              <a:ea typeface="+mn-ea"/>
              <a:cs typeface="+mn-cs"/>
            </a:rPr>
            <a:t> all material at the mine is potentially acid generating. </a:t>
          </a:r>
          <a:r>
            <a:rPr lang="en-US" sz="1100" b="0" i="0">
              <a:solidFill>
                <a:sysClr val="windowText" lastClr="000000"/>
              </a:solidFill>
              <a:effectLst/>
              <a:latin typeface="+mn-lt"/>
              <a:ea typeface="+mn-ea"/>
              <a:cs typeface="+mn-cs"/>
            </a:rPr>
            <a:t>A portable screening and crushing plant may be necessary to manufacture bedding material. Large size rip rap can be taken from onsite stockpiles.</a:t>
          </a:r>
          <a:br>
            <a:rPr lang="en-US" sz="1100" b="0" i="0">
              <a:solidFill>
                <a:sysClr val="windowText" lastClr="000000"/>
              </a:solidFill>
              <a:effectLst/>
              <a:latin typeface="+mn-lt"/>
              <a:ea typeface="+mn-ea"/>
              <a:cs typeface="+mn-cs"/>
            </a:rPr>
          </a:br>
          <a:br>
            <a:rPr lang="en-US" sz="1100" b="0" i="0">
              <a:solidFill>
                <a:sysClr val="windowText" lastClr="000000"/>
              </a:solidFill>
              <a:effectLst/>
              <a:latin typeface="+mn-lt"/>
              <a:ea typeface="+mn-ea"/>
              <a:cs typeface="+mn-cs"/>
            </a:rPr>
          </a:br>
          <a:r>
            <a:rPr lang="en-US" sz="1100" b="0" i="0">
              <a:solidFill>
                <a:sysClr val="windowText" lastClr="000000"/>
              </a:solidFill>
              <a:effectLst/>
              <a:latin typeface="+mn-lt"/>
              <a:ea typeface="+mn-ea"/>
              <a:cs typeface="+mn-cs"/>
            </a:rPr>
            <a:t>In the absence</a:t>
          </a:r>
          <a:r>
            <a:rPr lang="en-US" sz="1100" b="0" i="0" baseline="0">
              <a:solidFill>
                <a:sysClr val="windowText" lastClr="000000"/>
              </a:solidFill>
              <a:effectLst/>
              <a:latin typeface="+mn-lt"/>
              <a:ea typeface="+mn-ea"/>
              <a:cs typeface="+mn-cs"/>
            </a:rPr>
            <a:t> of more detailed designs, </a:t>
          </a:r>
          <a:r>
            <a:rPr lang="en-US" sz="1100" b="0" i="0">
              <a:solidFill>
                <a:sysClr val="windowText" lastClr="000000"/>
              </a:solidFill>
              <a:effectLst/>
              <a:latin typeface="+mn-lt"/>
              <a:ea typeface="+mn-ea"/>
              <a:cs typeface="+mn-cs"/>
            </a:rPr>
            <a:t>assume that rip rap placement is needed along 30% of total ditches and 50% of </a:t>
          </a:r>
          <a:r>
            <a:rPr lang="en-US" sz="1100" b="0" i="0" baseline="0">
              <a:solidFill>
                <a:sysClr val="windowText" lastClr="000000"/>
              </a:solidFill>
              <a:effectLst/>
              <a:latin typeface="+mn-lt"/>
              <a:ea typeface="+mn-ea"/>
              <a:cs typeface="+mn-cs"/>
            </a:rPr>
            <a:t>remaining roads. </a:t>
          </a:r>
          <a:r>
            <a:rPr lang="en-US" sz="1100" b="0" i="0">
              <a:solidFill>
                <a:sysClr val="windowText" lastClr="000000"/>
              </a:solidFill>
              <a:effectLst/>
              <a:latin typeface="+mn-lt"/>
              <a:ea typeface="+mn-ea"/>
              <a:cs typeface="+mn-cs"/>
            </a:rPr>
            <a:t>The estimated cost for completing a rip rap lined ditch is $60 per foot. Engineering and</a:t>
          </a:r>
          <a:r>
            <a:rPr lang="en-US" sz="1100" b="0" i="0" baseline="0">
              <a:solidFill>
                <a:sysClr val="windowText" lastClr="000000"/>
              </a:solidFill>
              <a:effectLst/>
              <a:latin typeface="+mn-lt"/>
              <a:ea typeface="+mn-ea"/>
              <a:cs typeface="+mn-cs"/>
            </a:rPr>
            <a:t> survey</a:t>
          </a:r>
          <a:r>
            <a:rPr lang="en-US" sz="1100" b="0" i="0">
              <a:solidFill>
                <a:sysClr val="windowText" lastClr="000000"/>
              </a:solidFill>
              <a:effectLst/>
              <a:latin typeface="+mn-lt"/>
              <a:ea typeface="+mn-ea"/>
              <a:cs typeface="+mn-cs"/>
            </a:rPr>
            <a:t> fee of 15% is also included.</a:t>
          </a:r>
          <a:endParaRPr lang="en-US">
            <a:solidFill>
              <a:sysClr val="windowText" lastClr="000000"/>
            </a:solidFill>
            <a:effectLst/>
          </a:endParaRPr>
        </a:p>
        <a:p>
          <a:endParaRPr lang="en-US" sz="1100" b="0" i="0" u="none" strike="noStrike" baseline="0">
            <a:solidFill>
              <a:sysClr val="windowText" lastClr="000000"/>
            </a:solidFill>
            <a:effectLst/>
            <a:latin typeface="+mn-lt"/>
            <a:ea typeface="+mn-ea"/>
            <a:cs typeface="+mn-cs"/>
          </a:endParaRPr>
        </a:p>
        <a:p>
          <a:br>
            <a:rPr lang="en-US" sz="1100" b="0" i="0" u="none" strike="noStrike" baseline="0">
              <a:solidFill>
                <a:sysClr val="windowText" lastClr="000000"/>
              </a:solidFill>
              <a:effectLst/>
              <a:latin typeface="+mn-lt"/>
              <a:ea typeface="+mn-ea"/>
              <a:cs typeface="+mn-cs"/>
            </a:rPr>
          </a:br>
          <a:br>
            <a:rPr lang="en-US" sz="1100" b="0" i="0" u="none" strike="noStrike">
              <a:solidFill>
                <a:sysClr val="windowText" lastClr="000000"/>
              </a:solidFill>
              <a:effectLst/>
              <a:latin typeface="+mn-lt"/>
              <a:ea typeface="+mn-ea"/>
              <a:cs typeface="+mn-cs"/>
            </a:rPr>
          </a:br>
          <a:br>
            <a:rPr lang="en-US" sz="1100" b="0" i="0" u="none" strike="noStrike">
              <a:solidFill>
                <a:sysClr val="windowText" lastClr="000000"/>
              </a:solidFill>
              <a:effectLst/>
              <a:latin typeface="+mn-lt"/>
              <a:ea typeface="+mn-ea"/>
              <a:cs typeface="+mn-cs"/>
            </a:rPr>
          </a:br>
          <a:br>
            <a:rPr lang="en-US" sz="1100" b="0" i="0" u="none" strike="noStrike">
              <a:solidFill>
                <a:sysClr val="windowText" lastClr="000000"/>
              </a:solidFill>
              <a:effectLst/>
              <a:latin typeface="+mn-lt"/>
              <a:ea typeface="+mn-ea"/>
              <a:cs typeface="+mn-cs"/>
            </a:rPr>
          </a:br>
          <a:br>
            <a:rPr lang="en-US" sz="1100" b="0" i="0" u="none" strike="noStrike">
              <a:solidFill>
                <a:sysClr val="windowText" lastClr="000000"/>
              </a:solidFill>
              <a:effectLst/>
              <a:latin typeface="+mn-lt"/>
              <a:ea typeface="+mn-ea"/>
              <a:cs typeface="+mn-cs"/>
            </a:rPr>
          </a:br>
          <a:endParaRPr lang="en-US" sz="1100">
            <a:solidFill>
              <a:sysClr val="windowText" lastClr="000000"/>
            </a:solidFill>
          </a:endParaRPr>
        </a:p>
      </xdr:txBody>
    </xdr:sp>
    <xdr:clientData/>
  </xdr:twoCellAnchor>
  <xdr:twoCellAnchor>
    <xdr:from>
      <xdr:col>0</xdr:col>
      <xdr:colOff>112256</xdr:colOff>
      <xdr:row>973</xdr:row>
      <xdr:rowOff>108857</xdr:rowOff>
    </xdr:from>
    <xdr:to>
      <xdr:col>3</xdr:col>
      <xdr:colOff>1440873</xdr:colOff>
      <xdr:row>985</xdr:row>
      <xdr:rowOff>0</xdr:rowOff>
    </xdr:to>
    <xdr:sp macro="" textlink="">
      <xdr:nvSpPr>
        <xdr:cNvPr id="32" name="TextBox 31">
          <a:extLst>
            <a:ext uri="{FF2B5EF4-FFF2-40B4-BE49-F238E27FC236}">
              <a16:creationId xmlns:a16="http://schemas.microsoft.com/office/drawing/2014/main" id="{E11ED5AD-F331-312D-6C6B-B2401B93DE72}"/>
            </a:ext>
          </a:extLst>
        </xdr:cNvPr>
        <xdr:cNvSpPr txBox="1"/>
      </xdr:nvSpPr>
      <xdr:spPr>
        <a:xfrm>
          <a:off x="112256" y="162137766"/>
          <a:ext cx="8782362" cy="20524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Assumptions/Observations: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Upper Clearwater Ditch is an eroding, unlined channel along the toe of the East Dump and the embankment of Interstate 15.</a:t>
          </a:r>
          <a:r>
            <a:rPr lang="en-US"/>
            <a:t> </a:t>
          </a:r>
          <a:r>
            <a:rPr lang="en-US" sz="1100" b="0" i="0" u="none" strike="noStrike">
              <a:solidFill>
                <a:schemeClr val="dk1"/>
              </a:solidFill>
              <a:effectLst/>
              <a:latin typeface="+mn-lt"/>
              <a:ea typeface="+mn-ea"/>
              <a:cs typeface="+mn-cs"/>
            </a:rPr>
            <a:t>The length of the eroding channel is 840 feet at which point the water enters an existing 24 inch culvert.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In October 2010, Water &amp; Environmental Techologies, PC (WET) completed a proposed underground drainage infrastructure design for the Upper Clearwater Ditch.</a:t>
          </a:r>
          <a:r>
            <a:rPr lang="en-US"/>
            <a:t> </a:t>
          </a:r>
          <a:r>
            <a:rPr lang="en-US" sz="1100" b="0" i="0" u="none" strike="noStrike">
              <a:solidFill>
                <a:schemeClr val="dk1"/>
              </a:solidFill>
              <a:effectLst/>
              <a:latin typeface="+mn-lt"/>
              <a:ea typeface="+mn-ea"/>
              <a:cs typeface="+mn-cs"/>
            </a:rPr>
            <a:t>The proposed design includes capturing all existing surface flows and directing them into a buried 24 inch HDPE culvert for the entire length of the eroding channel.</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design includes the addition of five manholes and five sections of 24 inch HDPE Pipe (840 feet of pipe total)</a:t>
          </a:r>
          <a:r>
            <a:rPr lang="en-US"/>
            <a:t> </a:t>
          </a:r>
          <a:r>
            <a:rPr lang="en-US" sz="1100" b="0" i="0" u="none" strike="noStrike">
              <a:solidFill>
                <a:schemeClr val="dk1"/>
              </a:solidFill>
              <a:effectLst/>
              <a:latin typeface="+mn-lt"/>
              <a:ea typeface="+mn-ea"/>
              <a:cs typeface="+mn-cs"/>
            </a:rPr>
            <a:t>The design also includes, slope reinforement mats, and rip rap lined channels, and a trash grate to minimize clogging, and maintenance.</a:t>
          </a:r>
          <a:endParaRPr lang="en-US" sz="1100"/>
        </a:p>
      </xdr:txBody>
    </xdr:sp>
    <xdr:clientData/>
  </xdr:twoCellAnchor>
  <xdr:twoCellAnchor editAs="oneCell">
    <xdr:from>
      <xdr:col>3</xdr:col>
      <xdr:colOff>330604</xdr:colOff>
      <xdr:row>938</xdr:row>
      <xdr:rowOff>749</xdr:rowOff>
    </xdr:from>
    <xdr:to>
      <xdr:col>10</xdr:col>
      <xdr:colOff>359179</xdr:colOff>
      <xdr:row>968</xdr:row>
      <xdr:rowOff>131801</xdr:rowOff>
    </xdr:to>
    <xdr:pic>
      <xdr:nvPicPr>
        <xdr:cNvPr id="24" name="Picture 23">
          <a:extLst>
            <a:ext uri="{FF2B5EF4-FFF2-40B4-BE49-F238E27FC236}">
              <a16:creationId xmlns:a16="http://schemas.microsoft.com/office/drawing/2014/main" id="{653134E3-35A7-0D26-3DCE-636B51B88253}"/>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7787318" y="169491320"/>
          <a:ext cx="8586529" cy="5434029"/>
        </a:xfrm>
        <a:prstGeom prst="rect">
          <a:avLst/>
        </a:prstGeom>
        <a:ln>
          <a:solidFill>
            <a:sysClr val="windowText" lastClr="000000"/>
          </a:solidFill>
        </a:ln>
      </xdr:spPr>
    </xdr:pic>
    <xdr:clientData/>
  </xdr:twoCellAnchor>
  <xdr:twoCellAnchor editAs="oneCell">
    <xdr:from>
      <xdr:col>3</xdr:col>
      <xdr:colOff>1072661</xdr:colOff>
      <xdr:row>359</xdr:row>
      <xdr:rowOff>56802</xdr:rowOff>
    </xdr:from>
    <xdr:to>
      <xdr:col>7</xdr:col>
      <xdr:colOff>361131</xdr:colOff>
      <xdr:row>392</xdr:row>
      <xdr:rowOff>22493</xdr:rowOff>
    </xdr:to>
    <xdr:pic>
      <xdr:nvPicPr>
        <xdr:cNvPr id="25" name="Picture 24">
          <a:extLst>
            <a:ext uri="{FF2B5EF4-FFF2-40B4-BE49-F238E27FC236}">
              <a16:creationId xmlns:a16="http://schemas.microsoft.com/office/drawing/2014/main" id="{D260A4BC-5E4A-CD6F-EF54-33DC81896893}"/>
            </a:ext>
          </a:extLst>
        </xdr:cNvPr>
        <xdr:cNvPicPr>
          <a:picLocks noChangeAspect="1"/>
        </xdr:cNvPicPr>
      </xdr:nvPicPr>
      <xdr:blipFill>
        <a:blip xmlns:r="http://schemas.openxmlformats.org/officeDocument/2006/relationships" r:embed="rId10"/>
        <a:stretch>
          <a:fillRect/>
        </a:stretch>
      </xdr:blipFill>
      <xdr:spPr>
        <a:xfrm>
          <a:off x="8529375" y="64404981"/>
          <a:ext cx="4563292" cy="5812680"/>
        </a:xfrm>
        <a:prstGeom prst="rect">
          <a:avLst/>
        </a:prstGeom>
        <a:ln>
          <a:solidFill>
            <a:sysClr val="windowText" lastClr="000000"/>
          </a:solidFill>
        </a:ln>
      </xdr:spPr>
    </xdr:pic>
    <xdr:clientData/>
  </xdr:twoCellAnchor>
  <xdr:twoCellAnchor>
    <xdr:from>
      <xdr:col>0</xdr:col>
      <xdr:colOff>340425</xdr:colOff>
      <xdr:row>413</xdr:row>
      <xdr:rowOff>138548</xdr:rowOff>
    </xdr:from>
    <xdr:to>
      <xdr:col>4</xdr:col>
      <xdr:colOff>27709</xdr:colOff>
      <xdr:row>416</xdr:row>
      <xdr:rowOff>138545</xdr:rowOff>
    </xdr:to>
    <xdr:sp macro="" textlink="">
      <xdr:nvSpPr>
        <xdr:cNvPr id="3" name="TextBox 2">
          <a:extLst>
            <a:ext uri="{FF2B5EF4-FFF2-40B4-BE49-F238E27FC236}">
              <a16:creationId xmlns:a16="http://schemas.microsoft.com/office/drawing/2014/main" id="{F9295609-74B7-3B4D-629E-FDC60B703008}"/>
            </a:ext>
          </a:extLst>
        </xdr:cNvPr>
        <xdr:cNvSpPr txBox="1"/>
      </xdr:nvSpPr>
      <xdr:spPr>
        <a:xfrm>
          <a:off x="340425" y="64437493"/>
          <a:ext cx="8678884" cy="540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Side slopes of dumps require resloping and regrading.</a:t>
          </a:r>
          <a:r>
            <a:rPr lang="en-US"/>
            <a:t> </a:t>
          </a:r>
          <a:r>
            <a:rPr lang="en-US" sz="1100" b="0" i="0" u="none" strike="noStrike">
              <a:solidFill>
                <a:schemeClr val="dk1"/>
              </a:solidFill>
              <a:effectLst/>
              <a:latin typeface="+mn-lt"/>
              <a:ea typeface="+mn-ea"/>
              <a:cs typeface="+mn-cs"/>
            </a:rPr>
            <a:t>The existing dump slope angle are approximately 40 degrees.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reclamation of dumps will include resloping the waste rock to a 2.7H:1V slope, covering with growth media, and establishing vegetation.</a:t>
          </a:r>
          <a:r>
            <a:rPr lang="en-US"/>
            <a:t> </a:t>
          </a:r>
          <a:br>
            <a:rPr lang="en-US"/>
          </a:br>
          <a:endParaRPr lang="en-US" sz="1100" b="0" i="0" u="none" strike="noStrike">
            <a:solidFill>
              <a:schemeClr val="dk1"/>
            </a:solidFill>
            <a:effectLst/>
            <a:latin typeface="+mn-lt"/>
            <a:ea typeface="+mn-ea"/>
            <a:cs typeface="+mn-cs"/>
          </a:endParaRPr>
        </a:p>
      </xdr:txBody>
    </xdr:sp>
    <xdr:clientData/>
  </xdr:twoCellAnchor>
  <xdr:twoCellAnchor>
    <xdr:from>
      <xdr:col>0</xdr:col>
      <xdr:colOff>331766</xdr:colOff>
      <xdr:row>473</xdr:row>
      <xdr:rowOff>124692</xdr:rowOff>
    </xdr:from>
    <xdr:to>
      <xdr:col>4</xdr:col>
      <xdr:colOff>1287731</xdr:colOff>
      <xdr:row>494</xdr:row>
      <xdr:rowOff>124690</xdr:rowOff>
    </xdr:to>
    <xdr:sp macro="" textlink="">
      <xdr:nvSpPr>
        <xdr:cNvPr id="4" name="TextBox 3">
          <a:extLst>
            <a:ext uri="{FF2B5EF4-FFF2-40B4-BE49-F238E27FC236}">
              <a16:creationId xmlns:a16="http://schemas.microsoft.com/office/drawing/2014/main" id="{6A2D2D86-5171-8D17-33A9-4E17B63AF879}"/>
            </a:ext>
          </a:extLst>
        </xdr:cNvPr>
        <xdr:cNvSpPr txBox="1"/>
      </xdr:nvSpPr>
      <xdr:spPr>
        <a:xfrm>
          <a:off x="331766" y="80910299"/>
          <a:ext cx="9718965" cy="40004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a:solidFill>
                <a:schemeClr val="dk1"/>
              </a:solidFill>
              <a:effectLst/>
              <a:latin typeface="+mn-lt"/>
              <a:ea typeface="+mn-ea"/>
              <a:cs typeface="+mn-cs"/>
            </a:rPr>
            <a:t>Assumptions/Observations: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downstream face of N-S Embankment will not be covered by the North RDS in 2025, so the surface must be resloped prior to capping and revegetation.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downstream face of E-W Embankment must be resloped prior to capping and revegetation.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downstream West Embankment slopes were constructed to either 3H:1V or 2.5H:1V, therefore no resloping is required.</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tailings beach would not reach its full extent (under Amendment 010) in year 2025.</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upstream face (between beach surface and dam crest) will need to be considered for each embankment, an elevation difference of 50 feet is assumed.</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access road (50 ft wide) along the top of each crest will remain for post closure monitoring.</a:t>
          </a:r>
          <a:br>
            <a:rPr lang="en-US"/>
          </a:br>
          <a:br>
            <a:rPr lang="en-US"/>
          </a:br>
          <a:r>
            <a:rPr lang="en-US" sz="1100" b="0" i="0" u="none" strike="noStrike">
              <a:solidFill>
                <a:schemeClr val="dk1"/>
              </a:solidFill>
              <a:effectLst/>
              <a:latin typeface="+mn-lt"/>
              <a:ea typeface="+mn-ea"/>
              <a:cs typeface="+mn-cs"/>
            </a:rPr>
            <a:t>The N-S Embankment is approximately 6,500 feet long, in 2025 it will be constructed to the 6,450 ft elevation.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embankment is constructed using downstream construction method with heavy rock fill.</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N-S Embankment is constructed in 50 to 100-ft lifts of waste rock at the angle of repose.</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As the embankment height increases to the 6450 foot  crest elevation, a new ramp will be constructed, aiding in North RDS construction.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E-W Embankment is approximately 5,500 feet long, in 2025 it will be constructed to the 6,450 ft elevation.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West Embankment is approximately 6,800 feet long, in 2025 it will be constructed to the 6,450 ft elevation.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reclamation plan calls for downstream embankment slope to be reduced to  either a 2H:1V or 2.7H:1V slope and capping with 20 inches of amended alluvium.</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section of the embankment adjacent to the Precipitation Plant will be resloped to 2H:1V and capped with 20 inches of alluvium.</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section very close to the Precipitation Plant will be covered with course rockfill (riprap) that is nonacid generating sourced from off-site.</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There are no slopes within OP 00030A that need to be reduced to 2H:1V</a:t>
          </a:r>
          <a:r>
            <a:rPr lang="en-US"/>
            <a:t> .</a:t>
          </a:r>
          <a:endParaRPr lang="en-US" sz="1100"/>
        </a:p>
      </xdr:txBody>
    </xdr:sp>
    <xdr:clientData/>
  </xdr:twoCellAnchor>
  <xdr:twoCellAnchor>
    <xdr:from>
      <xdr:col>0</xdr:col>
      <xdr:colOff>263730</xdr:colOff>
      <xdr:row>869</xdr:row>
      <xdr:rowOff>113803</xdr:rowOff>
    </xdr:from>
    <xdr:to>
      <xdr:col>3</xdr:col>
      <xdr:colOff>1330036</xdr:colOff>
      <xdr:row>875</xdr:row>
      <xdr:rowOff>40821</xdr:rowOff>
    </xdr:to>
    <xdr:sp macro="" textlink="">
      <xdr:nvSpPr>
        <xdr:cNvPr id="8" name="TextBox 7">
          <a:extLst>
            <a:ext uri="{FF2B5EF4-FFF2-40B4-BE49-F238E27FC236}">
              <a16:creationId xmlns:a16="http://schemas.microsoft.com/office/drawing/2014/main" id="{7110D89E-FACC-2591-D992-787284B7C568}"/>
            </a:ext>
          </a:extLst>
        </xdr:cNvPr>
        <xdr:cNvSpPr txBox="1"/>
      </xdr:nvSpPr>
      <xdr:spPr>
        <a:xfrm>
          <a:off x="263730" y="180871089"/>
          <a:ext cx="8332520" cy="107001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Assumptions: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To fix the hot spots, the</a:t>
          </a:r>
          <a:r>
            <a:rPr lang="en-US" sz="1100" b="0" i="0" u="none" strike="noStrike" baseline="0">
              <a:solidFill>
                <a:schemeClr val="dk1"/>
              </a:solidFill>
              <a:effectLst/>
              <a:latin typeface="+mn-lt"/>
              <a:ea typeface="+mn-ea"/>
              <a:cs typeface="+mn-cs"/>
            </a:rPr>
            <a:t> 2023 Rec Plan states "</a:t>
          </a:r>
          <a:r>
            <a:rPr lang="en-US" sz="1100" b="0" i="0">
              <a:solidFill>
                <a:schemeClr val="dk1"/>
              </a:solidFill>
              <a:effectLst/>
              <a:latin typeface="+mn-lt"/>
              <a:ea typeface="+mn-ea"/>
              <a:cs typeface="+mn-cs"/>
            </a:rPr>
            <a:t>L</a:t>
          </a:r>
          <a:r>
            <a:rPr lang="en-US" sz="1100" b="0" i="0" baseline="0">
              <a:solidFill>
                <a:schemeClr val="dk1"/>
              </a:solidFill>
              <a:effectLst/>
              <a:latin typeface="+mn-lt"/>
              <a:ea typeface="+mn-ea"/>
              <a:cs typeface="+mn-cs"/>
            </a:rPr>
            <a:t>ime will be applied at appropriate rates to raise the pH to about 6.0. Lime would be incorporated to a depth of about 18 inches."</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 </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reclaimed hot spot is then seeded and weed sprayed for 5-years afterwards.</a:t>
          </a:r>
          <a:br>
            <a:rPr lang="en-US" sz="1100" b="0" i="0" u="none" strike="noStrike">
              <a:solidFill>
                <a:schemeClr val="dk1"/>
              </a:solidFill>
              <a:effectLst/>
              <a:latin typeface="+mn-lt"/>
              <a:ea typeface="+mn-ea"/>
              <a:cs typeface="+mn-cs"/>
            </a:rPr>
          </a:br>
          <a:endParaRPr lang="en-US" sz="1100" strike="sngStrike" baseline="0">
            <a:solidFill>
              <a:srgbClr val="FF0000"/>
            </a:solidFill>
          </a:endParaRPr>
        </a:p>
      </xdr:txBody>
    </xdr:sp>
    <xdr:clientData/>
  </xdr:twoCellAnchor>
  <xdr:twoCellAnchor editAs="oneCell">
    <xdr:from>
      <xdr:col>6</xdr:col>
      <xdr:colOff>137803</xdr:colOff>
      <xdr:row>732</xdr:row>
      <xdr:rowOff>18557</xdr:rowOff>
    </xdr:from>
    <xdr:to>
      <xdr:col>11</xdr:col>
      <xdr:colOff>933871</xdr:colOff>
      <xdr:row>748</xdr:row>
      <xdr:rowOff>172468</xdr:rowOff>
    </xdr:to>
    <xdr:pic>
      <xdr:nvPicPr>
        <xdr:cNvPr id="9" name="Picture 8">
          <a:extLst>
            <a:ext uri="{FF2B5EF4-FFF2-40B4-BE49-F238E27FC236}">
              <a16:creationId xmlns:a16="http://schemas.microsoft.com/office/drawing/2014/main" id="{42F96B62-21D5-B669-A0CA-580EB145F6DB}"/>
            </a:ext>
          </a:extLst>
        </xdr:cNvPr>
        <xdr:cNvPicPr>
          <a:picLocks noChangeAspect="1"/>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11533167" y="159034102"/>
          <a:ext cx="6005204" cy="3194290"/>
        </a:xfrm>
        <a:prstGeom prst="rect">
          <a:avLst/>
        </a:prstGeom>
        <a:ln>
          <a:solidFill>
            <a:schemeClr val="tx1"/>
          </a:solidFill>
        </a:ln>
      </xdr:spPr>
    </xdr:pic>
    <xdr:clientData/>
  </xdr:twoCellAnchor>
  <xdr:twoCellAnchor>
    <xdr:from>
      <xdr:col>0</xdr:col>
      <xdr:colOff>263237</xdr:colOff>
      <xdr:row>717</xdr:row>
      <xdr:rowOff>55418</xdr:rowOff>
    </xdr:from>
    <xdr:to>
      <xdr:col>5</xdr:col>
      <xdr:colOff>748146</xdr:colOff>
      <xdr:row>738</xdr:row>
      <xdr:rowOff>103909</xdr:rowOff>
    </xdr:to>
    <xdr:sp macro="" textlink="">
      <xdr:nvSpPr>
        <xdr:cNvPr id="11" name="TextBox 10">
          <a:extLst>
            <a:ext uri="{FF2B5EF4-FFF2-40B4-BE49-F238E27FC236}">
              <a16:creationId xmlns:a16="http://schemas.microsoft.com/office/drawing/2014/main" id="{9BDF478D-64FD-4BF2-8585-AE5141F489B2}"/>
            </a:ext>
          </a:extLst>
        </xdr:cNvPr>
        <xdr:cNvSpPr txBox="1"/>
      </xdr:nvSpPr>
      <xdr:spPr>
        <a:xfrm>
          <a:off x="263237" y="140367327"/>
          <a:ext cx="10702636" cy="40489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10.3 COVERSOIL TESTING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majority of coversoil to be used for reclamation will be mined in the CZABA. This material has recently been evaluated for suitability (see Section 4.2.1). This information on quality and location within the Central Zone will reduce the need for testing after alluvium is spread.</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Additionally, field pH testing will be conducted prior to spreading. In-place characterization and field pH analyses will reduce the probability that unsuitable material or material needing lime application will be spread. </a:t>
          </a:r>
        </a:p>
        <a:p>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Given the variability of alluvium within the Central Zone, however, some testing of respread alluvium may be conducted to determine if amendments might be necessary. Table RP-10-3 presents guidelines for sampling respread alluvium. MR may increase or decrease sampling intensity depending on uniformity or diversity of parameters in respread alluvium.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Respread topsoil sampling (Table RP-10-3) would focus on whether fertilizer may be necessary.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a:solidFill>
                <a:schemeClr val="dk1"/>
              </a:solidFill>
              <a:effectLst/>
              <a:latin typeface="+mn-lt"/>
              <a:ea typeface="+mn-ea"/>
              <a:cs typeface="+mn-cs"/>
            </a:rPr>
            <a:t>TESTING ASSUMPTIONS:</a:t>
          </a:r>
          <a:r>
            <a:rPr lang="en-US" sz="1100" b="1">
              <a:solidFill>
                <a:schemeClr val="dk1"/>
              </a:solidFill>
              <a:effectLst/>
              <a:latin typeface="+mn-lt"/>
              <a:ea typeface="+mn-ea"/>
              <a:cs typeface="+mn-cs"/>
            </a:rPr>
            <a:t> </a:t>
          </a:r>
          <a:endParaRPr lang="en-US">
            <a:effectLst/>
          </a:endParaRPr>
        </a:p>
        <a:p>
          <a:r>
            <a:rPr lang="en-US" sz="1100" b="0" i="0" baseline="0">
              <a:solidFill>
                <a:schemeClr val="dk1"/>
              </a:solidFill>
              <a:effectLst/>
              <a:latin typeface="+mn-lt"/>
              <a:ea typeface="+mn-ea"/>
              <a:cs typeface="+mn-cs"/>
            </a:rPr>
            <a:t>Even with information from the Rec Plan, during bankruptcy DEQ would need to characterize the CZABA materials upon excavation to determine suitability for reclamation cover and segregate the materials accordingly.</a:t>
          </a:r>
          <a:endParaRPr lang="en-US">
            <a:effectLst/>
          </a:endParaRPr>
        </a:p>
        <a:p>
          <a:r>
            <a:rPr lang="en-US" sz="1100" b="0" i="0" baseline="0">
              <a:solidFill>
                <a:schemeClr val="dk1"/>
              </a:solidFill>
              <a:effectLst/>
              <a:latin typeface="+mn-lt"/>
              <a:ea typeface="+mn-ea"/>
              <a:cs typeface="+mn-cs"/>
            </a:rPr>
            <a:t>Costs are needed to excavate, test, haul good material for placement and poor material to disposal (S. Cont. Pit RDS), then place good material for reclamation cover. </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Testing would also indicate whether soil amendments would be needed. </a:t>
          </a:r>
          <a:r>
            <a:rPr lang="en-US" sz="1100" baseline="0">
              <a:solidFill>
                <a:schemeClr val="dk1"/>
              </a:solidFill>
              <a:effectLst/>
              <a:latin typeface="+mn-lt"/>
              <a:ea typeface="+mn-ea"/>
              <a:cs typeface="+mn-cs"/>
            </a:rPr>
            <a:t>The 2023 Reclamation Plan clarifies the soil suitability criteria for initial testing, but a frequency is not specified. The following assumptions for testing frequency is based on the reclamation program established for the Woodville Dump (2002). . DEQ assumes the following sampling and analysis schedule would be applicable to initial soil testing.</a:t>
          </a:r>
          <a:br>
            <a:rPr lang="en-US" sz="1100" baseline="0">
              <a:solidFill>
                <a:schemeClr val="dk1"/>
              </a:solidFill>
              <a:effectLst/>
              <a:latin typeface="+mn-lt"/>
              <a:ea typeface="+mn-ea"/>
              <a:cs typeface="+mn-cs"/>
            </a:rPr>
          </a:br>
          <a:br>
            <a:rPr lang="en-US" sz="1100" baseline="0">
              <a:solidFill>
                <a:schemeClr val="dk1"/>
              </a:solidFill>
              <a:effectLst/>
              <a:latin typeface="+mn-lt"/>
              <a:ea typeface="+mn-ea"/>
              <a:cs typeface="+mn-cs"/>
            </a:rPr>
          </a:br>
          <a:r>
            <a:rPr lang="en-US" sz="1100" b="0" i="0">
              <a:solidFill>
                <a:sysClr val="windowText" lastClr="000000"/>
              </a:solidFill>
              <a:effectLst/>
              <a:latin typeface="+mn-lt"/>
              <a:ea typeface="+mn-ea"/>
              <a:cs typeface="+mn-cs"/>
            </a:rPr>
            <a:t>DEQ assumes a qualified soils scientist (with pickup truck) would be involved with the alluvium salvage operation full time for sample collection</a:t>
          </a:r>
          <a:r>
            <a:rPr lang="en-US" sz="1100" b="0" i="0" baseline="0">
              <a:solidFill>
                <a:sysClr val="windowText" lastClr="000000"/>
              </a:solidFill>
              <a:effectLst/>
              <a:latin typeface="+mn-lt"/>
              <a:ea typeface="+mn-ea"/>
              <a:cs typeface="+mn-cs"/>
            </a:rPr>
            <a:t> and preparation, </a:t>
          </a:r>
          <a:r>
            <a:rPr lang="en-US" sz="1100" b="0" i="0">
              <a:solidFill>
                <a:sysClr val="windowText" lastClr="000000"/>
              </a:solidFill>
              <a:effectLst/>
              <a:latin typeface="+mn-lt"/>
              <a:ea typeface="+mn-ea"/>
              <a:cs typeface="+mn-cs"/>
            </a:rPr>
            <a:t>QA/QC, and reporting/record keeping. DEQ</a:t>
          </a:r>
          <a:r>
            <a:rPr lang="en-US" sz="1100" b="0" i="0" baseline="0">
              <a:solidFill>
                <a:sysClr val="windowText" lastClr="000000"/>
              </a:solidFill>
              <a:effectLst/>
              <a:latin typeface="+mn-lt"/>
              <a:ea typeface="+mn-ea"/>
              <a:cs typeface="+mn-cs"/>
            </a:rPr>
            <a:t> assumes that a third party laboratory would process and analyze soil samples.</a:t>
          </a:r>
          <a:endParaRPr lang="en-US">
            <a:solidFill>
              <a:sysClr val="windowText" lastClr="000000"/>
            </a:solidFill>
            <a:effectLst/>
          </a:endParaRPr>
        </a:p>
        <a:p>
          <a:endParaRPr lang="en-US" sz="1100"/>
        </a:p>
      </xdr:txBody>
    </xdr:sp>
    <xdr:clientData/>
  </xdr:twoCellAnchor>
  <xdr:twoCellAnchor>
    <xdr:from>
      <xdr:col>0</xdr:col>
      <xdr:colOff>138546</xdr:colOff>
      <xdr:row>513</xdr:row>
      <xdr:rowOff>69274</xdr:rowOff>
    </xdr:from>
    <xdr:to>
      <xdr:col>3</xdr:col>
      <xdr:colOff>1260765</xdr:colOff>
      <xdr:row>529</xdr:row>
      <xdr:rowOff>69272</xdr:rowOff>
    </xdr:to>
    <xdr:sp macro="" textlink="">
      <xdr:nvSpPr>
        <xdr:cNvPr id="13" name="TextBox 12">
          <a:extLst>
            <a:ext uri="{FF2B5EF4-FFF2-40B4-BE49-F238E27FC236}">
              <a16:creationId xmlns:a16="http://schemas.microsoft.com/office/drawing/2014/main" id="{56870918-7FE9-44EB-80AF-A2EAD0B31AA6}"/>
            </a:ext>
          </a:extLst>
        </xdr:cNvPr>
        <xdr:cNvSpPr txBox="1"/>
      </xdr:nvSpPr>
      <xdr:spPr>
        <a:xfrm>
          <a:off x="138546" y="184376292"/>
          <a:ext cx="8575964" cy="28817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8.2.4 Pittsmont RDS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Pittsmont RDS is just east of the Berkeley Pit and overlies the western portion of the Central Zone. It consists of a northern disposal area and a southern disposal area bisected by a haul road to the primary crusher. </a:t>
          </a:r>
        </a:p>
        <a:p>
          <a:r>
            <a:rPr lang="en-US" sz="1100" b="0" i="0" u="none" strike="noStrike" baseline="0">
              <a:solidFill>
                <a:schemeClr val="dk1"/>
              </a:solidFill>
              <a:latin typeface="+mn-lt"/>
              <a:ea typeface="+mn-ea"/>
              <a:cs typeface="+mn-cs"/>
            </a:rPr>
            <a:t>Since 2018, the Montana Natural Resource Damage Program (NRDP) has delivered Parrot Tailings mine waste and associated water from dewatering activities removed from the historic Parrot Smelter to MR. The tailings have been hauled to a location on the east side of the Pittsmont RDS.  A portion of the east side of the Pittsmont RDS would be removed and regraded in conjunction with development of the CZABA.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2.3.2.2 </a:t>
          </a:r>
          <a:r>
            <a:rPr lang="en-US" sz="1100" b="1" i="0" u="none" strike="noStrike" baseline="0">
              <a:solidFill>
                <a:schemeClr val="dk1"/>
              </a:solidFill>
              <a:latin typeface="+mn-lt"/>
              <a:ea typeface="+mn-ea"/>
              <a:cs typeface="+mn-cs"/>
            </a:rPr>
            <a:t>Continental Pit and Central Zone Alluvium Borrow Area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The Continental Pit and Central Zone Alluvium Borrow Area (CZABA) highwalls could create potential nesting sites for birds that typically nest in cliff habitat, including species that could construct stick nests on the rock face or use ledges, fractures/fissures and cavities in the rock. Bats may also roost in fractures/fissures in the highwall face. The Continental Pit highwall may be near the upper elevational nesting/roosting limits of some bird and bat species, and its elevation and proximity to Butte, I-15/I-90 and other comparatively constant, intense human activity may limit its attractiveness to some species or individuals. </a:t>
          </a:r>
        </a:p>
        <a:p>
          <a:r>
            <a:rPr lang="en-US" sz="1100" b="0" i="0" u="none" strike="noStrike" baseline="0">
              <a:solidFill>
                <a:schemeClr val="dk1"/>
              </a:solidFill>
              <a:latin typeface="+mn-lt"/>
              <a:ea typeface="+mn-ea"/>
              <a:cs typeface="+mn-cs"/>
            </a:rPr>
            <a:t>The highwall created in the CZABA associated with removal of a small portion of the Pittsmont RDS would be graded during reclamation to 2.7H:1V or less, and wildlife habitat can be expected to be similar to other RDSs. </a:t>
          </a:r>
          <a:endParaRPr lang="en-US" sz="1100"/>
        </a:p>
      </xdr:txBody>
    </xdr:sp>
    <xdr:clientData/>
  </xdr:twoCellAnchor>
  <xdr:twoCellAnchor>
    <xdr:from>
      <xdr:col>0</xdr:col>
      <xdr:colOff>284167</xdr:colOff>
      <xdr:row>542</xdr:row>
      <xdr:rowOff>51386</xdr:rowOff>
    </xdr:from>
    <xdr:to>
      <xdr:col>4</xdr:col>
      <xdr:colOff>621896</xdr:colOff>
      <xdr:row>550</xdr:row>
      <xdr:rowOff>163285</xdr:rowOff>
    </xdr:to>
    <xdr:sp macro="" textlink="">
      <xdr:nvSpPr>
        <xdr:cNvPr id="16" name="TextBox 15">
          <a:extLst>
            <a:ext uri="{FF2B5EF4-FFF2-40B4-BE49-F238E27FC236}">
              <a16:creationId xmlns:a16="http://schemas.microsoft.com/office/drawing/2014/main" id="{712C6391-6B84-444B-9DCC-FA791A92AE06}"/>
            </a:ext>
          </a:extLst>
        </xdr:cNvPr>
        <xdr:cNvSpPr txBox="1"/>
      </xdr:nvSpPr>
      <xdr:spPr>
        <a:xfrm>
          <a:off x="284167" y="97233600"/>
          <a:ext cx="9332050" cy="15814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Assumptions:</a:t>
          </a:r>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DEQ cannot directly use the coversoil balance data provided in the 2023 Rec Plan, as Table RP-4-7 provides the acreages, alluvium volumes, and soil volumes that would be involved for the entire facility. </a:t>
          </a:r>
          <a:r>
            <a:rPr lang="en-US" sz="1100" b="1" i="0" baseline="0">
              <a:solidFill>
                <a:schemeClr val="dk1"/>
              </a:solidFill>
              <a:effectLst/>
              <a:latin typeface="+mn-lt"/>
              <a:ea typeface="+mn-ea"/>
              <a:cs typeface="+mn-cs"/>
            </a:rPr>
            <a:t>There is no distinction made for pre-1974 disturbance acres versus post-1974 disturbance, so the costs cannot be derived directly from the material volume totals.</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There is no distinction provided for individual polygons within larger features (e.g. the TSF features are grouped by slope and not embankment limb; all RDS are combined; features contained within Misc. footprint are not clear), to correlate with prior acreage tracking (2023 Op Plan; Table OP-2-1) or bonding assumptions.</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Acreage and volume tracking methods from the 2020 bond are carried forward here.</a:t>
          </a:r>
          <a:br>
            <a:rPr lang="en-US" sz="1100" b="0" i="0" u="none" strike="noStrike" baseline="0">
              <a:solidFill>
                <a:schemeClr val="dk1"/>
              </a:solidFill>
              <a:latin typeface="+mn-lt"/>
              <a:ea typeface="+mn-ea"/>
              <a:cs typeface="+mn-cs"/>
            </a:rPr>
          </a:br>
          <a:endParaRPr lang="en-US" sz="1100"/>
        </a:p>
      </xdr:txBody>
    </xdr:sp>
    <xdr:clientData/>
  </xdr:twoCellAnchor>
  <xdr:twoCellAnchor>
    <xdr:from>
      <xdr:col>0</xdr:col>
      <xdr:colOff>429490</xdr:colOff>
      <xdr:row>668</xdr:row>
      <xdr:rowOff>110832</xdr:rowOff>
    </xdr:from>
    <xdr:to>
      <xdr:col>4</xdr:col>
      <xdr:colOff>952500</xdr:colOff>
      <xdr:row>687</xdr:row>
      <xdr:rowOff>54429</xdr:rowOff>
    </xdr:to>
    <xdr:sp macro="" textlink="">
      <xdr:nvSpPr>
        <xdr:cNvPr id="18" name="TextBox 17">
          <a:extLst>
            <a:ext uri="{FF2B5EF4-FFF2-40B4-BE49-F238E27FC236}">
              <a16:creationId xmlns:a16="http://schemas.microsoft.com/office/drawing/2014/main" id="{C6980062-5D15-BC29-F65A-A9A5549602AC}"/>
            </a:ext>
          </a:extLst>
        </xdr:cNvPr>
        <xdr:cNvSpPr txBox="1"/>
      </xdr:nvSpPr>
      <xdr:spPr>
        <a:xfrm>
          <a:off x="429490" y="130222332"/>
          <a:ext cx="9286010" cy="356309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8.1.3 Post-Closure Pond and Transition Zone </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 beach area slope will be flatter than 5 percent. Coversoil will be spread on the beach to a depth of 28 inches of alluvium or a combination of 22 inches of alluvium and 6 inches of topsoil (see Table RP-4-7). </a:t>
          </a:r>
          <a:r>
            <a:rPr lang="en-US" sz="1100" b="1" i="0" u="none" strike="noStrike" baseline="0">
              <a:solidFill>
                <a:schemeClr val="dk1"/>
              </a:solidFill>
              <a:latin typeface="+mn-lt"/>
              <a:ea typeface="+mn-ea"/>
              <a:cs typeface="+mn-cs"/>
            </a:rPr>
            <a:t>The transition zone is projected to be a 5 percent slope (see Exhibit RP-2) and would be covered with 20 inches of coversoil. Should portions of the transition zone be less than 5 percent slope, coversoil depth would be increased to 28 inches. As water level drops and the transition zone dries, coversoil would be placed in 5 year increments. </a:t>
          </a:r>
          <a:r>
            <a:rPr lang="en-US" sz="1100" b="0" i="0" u="none" strike="noStrike" baseline="0">
              <a:solidFill>
                <a:schemeClr val="dk1"/>
              </a:solidFill>
              <a:latin typeface="+mn-lt"/>
              <a:ea typeface="+mn-ea"/>
              <a:cs typeface="+mn-cs"/>
            </a:rPr>
            <a:t>A 6-inch cover of rock, leached cap, or similar material would be placed as necessary for dust control concurrently with beach exposure. </a:t>
          </a:r>
          <a:r>
            <a:rPr lang="en-US" sz="1100" b="1" i="0" u="none" strike="noStrike" baseline="0">
              <a:solidFill>
                <a:schemeClr val="dk1"/>
              </a:solidFill>
              <a:latin typeface="+mn-lt"/>
              <a:ea typeface="+mn-ea"/>
              <a:cs typeface="+mn-cs"/>
            </a:rPr>
            <a:t>Coversoil material may be stockpiled on the beach area in advance to minimize haul distance post-closure</a:t>
          </a:r>
          <a:r>
            <a:rPr lang="en-US" sz="1100" b="0" i="0" u="none" strike="noStrike" baseline="0">
              <a:solidFill>
                <a:schemeClr val="dk1"/>
              </a:solidFill>
              <a:latin typeface="+mn-lt"/>
              <a:ea typeface="+mn-ea"/>
              <a:cs typeface="+mn-cs"/>
            </a:rPr>
            <a:t>. Coversoil would not be applied to the remnant pond.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Assumptions:</a:t>
          </a:r>
          <a:br>
            <a:rPr lang="en-US" sz="1100" b="1" i="0" u="none" strike="noStrike" baseline="0">
              <a:solidFill>
                <a:schemeClr val="dk1"/>
              </a:solidFill>
              <a:latin typeface="+mn-lt"/>
              <a:ea typeface="+mn-ea"/>
              <a:cs typeface="+mn-cs"/>
            </a:rPr>
          </a:br>
          <a:r>
            <a:rPr lang="en-US" sz="1100" b="0" i="0" u="none" strike="noStrike">
              <a:solidFill>
                <a:schemeClr val="dk1"/>
              </a:solidFill>
              <a:effectLst/>
              <a:latin typeface="+mn-lt"/>
              <a:ea typeface="+mn-ea"/>
              <a:cs typeface="+mn-cs"/>
            </a:rPr>
            <a:t>Post closure period assumes that  the initial beach has been capped within the first</a:t>
          </a:r>
          <a:r>
            <a:rPr lang="en-US" sz="1100" b="0" i="0" u="none" strike="noStrike" baseline="0">
              <a:solidFill>
                <a:schemeClr val="dk1"/>
              </a:solidFill>
              <a:effectLst/>
              <a:latin typeface="+mn-lt"/>
              <a:ea typeface="+mn-ea"/>
              <a:cs typeface="+mn-cs"/>
            </a:rPr>
            <a:t> five years</a:t>
          </a:r>
          <a:r>
            <a:rPr lang="en-US" sz="1100" b="0" i="0" u="none" strike="noStrike">
              <a:solidFill>
                <a:schemeClr val="dk1"/>
              </a:solidFill>
              <a:effectLst/>
              <a:latin typeface="+mn-lt"/>
              <a:ea typeface="+mn-ea"/>
              <a:cs typeface="+mn-cs"/>
            </a:rPr>
            <a:t>.</a:t>
          </a:r>
          <a:r>
            <a:rPr lang="en-US"/>
            <a:t> </a:t>
          </a:r>
          <a:r>
            <a:rPr lang="en-US" sz="1100" b="0" i="0" u="none" strike="noStrike">
              <a:solidFill>
                <a:schemeClr val="dk1"/>
              </a:solidFill>
              <a:effectLst/>
              <a:latin typeface="+mn-lt"/>
              <a:ea typeface="+mn-ea"/>
              <a:cs typeface="+mn-cs"/>
            </a:rPr>
            <a:t>As the pond recedes over the next 30 years, the remaining tailings beach surface (transition zone) and the exposed north short transition</a:t>
          </a:r>
          <a:r>
            <a:rPr lang="en-US" sz="1100" b="0" i="0" u="none" strike="noStrike" baseline="0">
              <a:solidFill>
                <a:schemeClr val="dk1"/>
              </a:solidFill>
              <a:effectLst/>
              <a:latin typeface="+mn-lt"/>
              <a:ea typeface="+mn-ea"/>
              <a:cs typeface="+mn-cs"/>
            </a:rPr>
            <a:t> zone </a:t>
          </a:r>
          <a:r>
            <a:rPr lang="en-US" sz="1100" b="0" i="0" u="none" strike="noStrike">
              <a:solidFill>
                <a:schemeClr val="dk1"/>
              </a:solidFill>
              <a:effectLst/>
              <a:latin typeface="+mn-lt"/>
              <a:ea typeface="+mn-ea"/>
              <a:cs typeface="+mn-cs"/>
            </a:rPr>
            <a:t>can be reclaimed.</a:t>
          </a:r>
          <a:r>
            <a:rPr lang="en-US"/>
            <a:t> </a:t>
          </a:r>
          <a:r>
            <a:rPr lang="en-US" sz="1100" b="0" i="0" u="none" strike="noStrike">
              <a:solidFill>
                <a:schemeClr val="dk1"/>
              </a:solidFill>
              <a:effectLst/>
              <a:latin typeface="+mn-lt"/>
              <a:ea typeface="+mn-ea"/>
              <a:cs typeface="+mn-cs"/>
            </a:rPr>
            <a:t>The strips of transition zone (approx. 800 ft wide) would then incrementally become future "Reclaimed Beach."</a:t>
          </a:r>
          <a:r>
            <a:rPr lang="en-US"/>
            <a:t> </a:t>
          </a:r>
          <a:br>
            <a:rPr lang="en-US" sz="1100" b="1"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R</a:t>
          </a:r>
          <a:r>
            <a:rPr lang="en-US" sz="1100" b="0" i="0" u="none" strike="noStrike">
              <a:solidFill>
                <a:schemeClr val="dk1"/>
              </a:solidFill>
              <a:effectLst/>
              <a:latin typeface="+mn-lt"/>
              <a:ea typeface="+mn-ea"/>
              <a:cs typeface="+mn-cs"/>
            </a:rPr>
            <a:t>eclamation of the incremental exposed beach is similar to the initial beach acres </a:t>
          </a:r>
          <a:r>
            <a:rPr lang="en-US" sz="1100" b="1" i="0" u="none" strike="noStrike">
              <a:solidFill>
                <a:sysClr val="windowText" lastClr="000000"/>
              </a:solidFill>
              <a:effectLst/>
              <a:latin typeface="+mn-lt"/>
              <a:ea typeface="+mn-ea"/>
              <a:cs typeface="+mn-cs"/>
            </a:rPr>
            <a:t>but with contractor using smaller equipment</a:t>
          </a:r>
          <a:r>
            <a:rPr lang="en-US" b="1">
              <a:solidFill>
                <a:sysClr val="windowText" lastClr="000000"/>
              </a:solidFill>
            </a:rPr>
            <a:t> </a:t>
          </a:r>
          <a:r>
            <a:rPr lang="en-US" sz="1100" b="1" i="0" u="none" strike="noStrike">
              <a:solidFill>
                <a:sysClr val="windowText" lastClr="000000"/>
              </a:solidFill>
              <a:effectLst/>
              <a:latin typeface="+mn-lt"/>
              <a:ea typeface="+mn-ea"/>
              <a:cs typeface="+mn-cs"/>
            </a:rPr>
            <a:t>Assuming a local contractor wins the bid, and has available a Cat 345 Hydraulic Excavator and 2-Cat 740 articulating trucks to mine, load, and haul the alluvium</a:t>
          </a:r>
          <a:r>
            <a:rPr lang="en-US" b="1">
              <a:solidFill>
                <a:sysClr val="windowText" lastClr="000000"/>
              </a:solidFill>
            </a:rPr>
            <a:t> </a:t>
          </a:r>
          <a:br>
            <a:rPr lang="en-US" b="1">
              <a:solidFill>
                <a:srgbClr val="FF0000"/>
              </a:solidFill>
            </a:rPr>
          </a:br>
          <a:r>
            <a:rPr lang="en-US" sz="1100" b="0" i="0" u="none" strike="noStrike">
              <a:solidFill>
                <a:schemeClr val="dk1"/>
              </a:solidFill>
              <a:effectLst/>
              <a:latin typeface="+mn-lt"/>
              <a:ea typeface="+mn-ea"/>
              <a:cs typeface="+mn-cs"/>
            </a:rPr>
            <a:t>The capping material would be mined in the Central Zone all</a:t>
          </a:r>
          <a:r>
            <a:rPr lang="en-US" sz="1100" b="0" i="0" u="none" strike="noStrike" baseline="0">
              <a:solidFill>
                <a:schemeClr val="dk1"/>
              </a:solidFill>
              <a:effectLst/>
              <a:latin typeface="+mn-lt"/>
              <a:ea typeface="+mn-ea"/>
              <a:cs typeface="+mn-cs"/>
            </a:rPr>
            <a:t> at once in the first 5 years of closure, then hauled into a stockpile on the TSF, near the transition zone. This material would be tested all at once as well, rather then testing and hauling material from the Central Zone every 5 years.</a:t>
          </a:r>
          <a:br>
            <a:rPr lang="en-US" sz="1100" b="0" i="0" u="none" strike="noStrike" baseline="0">
              <a:solidFill>
                <a:schemeClr val="dk1"/>
              </a:solidFill>
              <a:effectLst/>
              <a:latin typeface="+mn-lt"/>
              <a:ea typeface="+mn-ea"/>
              <a:cs typeface="+mn-cs"/>
            </a:rPr>
          </a:br>
          <a:r>
            <a:rPr lang="en-US" sz="1100" b="0" i="0" u="none" strike="noStrike">
              <a:solidFill>
                <a:schemeClr val="dk1"/>
              </a:solidFill>
              <a:effectLst/>
              <a:latin typeface="+mn-lt"/>
              <a:ea typeface="+mn-ea"/>
              <a:cs typeface="+mn-cs"/>
            </a:rPr>
            <a:t>Spreading the alluvium is accomplished with a Cat 8T - assume the operating hours equal to the truck hours hauling the alluvium. Initial haul</a:t>
          </a:r>
          <a:r>
            <a:rPr lang="en-US" sz="1100" b="0" i="0" u="none" strike="noStrike" baseline="0">
              <a:solidFill>
                <a:schemeClr val="dk1"/>
              </a:solidFill>
              <a:effectLst/>
              <a:latin typeface="+mn-lt"/>
              <a:ea typeface="+mn-ea"/>
              <a:cs typeface="+mn-cs"/>
            </a:rPr>
            <a:t> must be considered, even if stockpiles are created nearby for future use.</a:t>
          </a:r>
          <a:br>
            <a:rPr lang="en-US" sz="1100" b="0" i="0" u="none" strike="noStrike" baseline="0">
              <a:solidFill>
                <a:schemeClr val="dk1"/>
              </a:solidFill>
              <a:effectLst/>
              <a:latin typeface="+mn-lt"/>
              <a:ea typeface="+mn-ea"/>
              <a:cs typeface="+mn-cs"/>
            </a:rPr>
          </a:br>
          <a:r>
            <a:rPr lang="en-US" sz="1100" b="1" i="0" u="none" strike="noStrike">
              <a:solidFill>
                <a:schemeClr val="dk1"/>
              </a:solidFill>
              <a:effectLst/>
              <a:latin typeface="+mn-lt"/>
              <a:ea typeface="+mn-ea"/>
              <a:cs typeface="+mn-cs"/>
            </a:rPr>
            <a:t>The exposed north transition zone would not receive alluvium (excluded in this task), but the area will be seeded.</a:t>
          </a:r>
          <a:br>
            <a:rPr lang="en-US" sz="1100" b="0" i="0" u="none" strike="noStrike" baseline="0">
              <a:solidFill>
                <a:schemeClr val="dk1"/>
              </a:solidFill>
              <a:effectLst/>
              <a:latin typeface="+mn-lt"/>
              <a:ea typeface="+mn-ea"/>
              <a:cs typeface="+mn-cs"/>
            </a:rPr>
          </a:br>
          <a:endParaRPr lang="en-US" sz="1100" b="1">
            <a:solidFill>
              <a:srgbClr val="FF0000"/>
            </a:solidFill>
          </a:endParaRPr>
        </a:p>
      </xdr:txBody>
    </xdr:sp>
    <xdr:clientData/>
  </xdr:twoCellAnchor>
  <xdr:twoCellAnchor>
    <xdr:from>
      <xdr:col>0</xdr:col>
      <xdr:colOff>422563</xdr:colOff>
      <xdr:row>426</xdr:row>
      <xdr:rowOff>13855</xdr:rowOff>
    </xdr:from>
    <xdr:to>
      <xdr:col>3</xdr:col>
      <xdr:colOff>1440874</xdr:colOff>
      <xdr:row>437</xdr:row>
      <xdr:rowOff>83128</xdr:rowOff>
    </xdr:to>
    <xdr:sp macro="" textlink="">
      <xdr:nvSpPr>
        <xdr:cNvPr id="5" name="TextBox 4">
          <a:extLst>
            <a:ext uri="{FF2B5EF4-FFF2-40B4-BE49-F238E27FC236}">
              <a16:creationId xmlns:a16="http://schemas.microsoft.com/office/drawing/2014/main" id="{6248FF02-7C4E-4BF8-CA1E-3571FF3986BB}"/>
            </a:ext>
          </a:extLst>
        </xdr:cNvPr>
        <xdr:cNvSpPr txBox="1"/>
      </xdr:nvSpPr>
      <xdr:spPr>
        <a:xfrm>
          <a:off x="422563" y="73318255"/>
          <a:ext cx="8472056" cy="205047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 East Dump Reclamation would include:</a:t>
          </a:r>
        </a:p>
        <a:p>
          <a:r>
            <a:rPr lang="en-US" sz="1100" b="0" i="0" u="none" strike="noStrike">
              <a:solidFill>
                <a:schemeClr val="dk1"/>
              </a:solidFill>
              <a:effectLst/>
              <a:latin typeface="+mn-lt"/>
              <a:ea typeface="+mn-ea"/>
              <a:cs typeface="+mn-cs"/>
            </a:rPr>
            <a:t>Resloping the east side (along the Clearwater Ditch) and south side (near Hillcrest Dump) to a 3H:1V slope.</a:t>
          </a:r>
        </a:p>
        <a:p>
          <a:r>
            <a:rPr lang="en-US" sz="1100" b="0" i="0" u="none" strike="noStrike">
              <a:solidFill>
                <a:schemeClr val="dk1"/>
              </a:solidFill>
              <a:effectLst/>
              <a:latin typeface="+mn-lt"/>
              <a:ea typeface="+mn-ea"/>
              <a:cs typeface="+mn-cs"/>
            </a:rPr>
            <a:t>Reslope the west side (along  the Continental Pit) to a 2.7H:1V slope.</a:t>
          </a:r>
        </a:p>
        <a:p>
          <a:r>
            <a:rPr lang="en-US" sz="1100" b="0" i="0" u="none" strike="noStrike">
              <a:solidFill>
                <a:schemeClr val="dk1"/>
              </a:solidFill>
              <a:effectLst/>
              <a:latin typeface="+mn-lt"/>
              <a:ea typeface="+mn-ea"/>
              <a:cs typeface="+mn-cs"/>
            </a:rPr>
            <a:t>Blend the north end to the North East Dump reclamation and southwest end to the Hillcrest Dump reclamation.</a:t>
          </a:r>
        </a:p>
        <a:p>
          <a:r>
            <a:rPr lang="en-US" sz="1100" b="0" i="0" u="none" strike="noStrike">
              <a:solidFill>
                <a:schemeClr val="dk1"/>
              </a:solidFill>
              <a:effectLst/>
              <a:latin typeface="+mn-lt"/>
              <a:ea typeface="+mn-ea"/>
              <a:cs typeface="+mn-cs"/>
            </a:rPr>
            <a:t>Reslope the top of the dump to keep the water from ponding by providing drainage swales.</a:t>
          </a:r>
        </a:p>
        <a:p>
          <a:r>
            <a:rPr lang="en-US" sz="1100" b="0" i="0" u="none" strike="noStrike">
              <a:solidFill>
                <a:schemeClr val="dk1"/>
              </a:solidFill>
              <a:effectLst/>
              <a:latin typeface="+mn-lt"/>
              <a:ea typeface="+mn-ea"/>
              <a:cs typeface="+mn-cs"/>
            </a:rPr>
            <a:t>The existing dump slope angle are at angle of repose, approximately 40 degrees.</a:t>
          </a:r>
        </a:p>
        <a:p>
          <a:r>
            <a:rPr lang="en-US" sz="1100" b="0" i="0" u="none" strike="noStrike">
              <a:solidFill>
                <a:schemeClr val="dk1"/>
              </a:solidFill>
              <a:effectLst/>
              <a:latin typeface="+mn-lt"/>
              <a:ea typeface="+mn-ea"/>
              <a:cs typeface="+mn-cs"/>
            </a:rPr>
            <a:t>The East Dump northern segment final top elevation is 6,300 feet.</a:t>
          </a:r>
        </a:p>
        <a:p>
          <a:r>
            <a:rPr lang="en-US" sz="1100" b="0" i="0" u="none" strike="noStrike">
              <a:solidFill>
                <a:schemeClr val="dk1"/>
              </a:solidFill>
              <a:effectLst/>
              <a:latin typeface="+mn-lt"/>
              <a:ea typeface="+mn-ea"/>
              <a:cs typeface="+mn-cs"/>
            </a:rPr>
            <a:t>The East Dump southern segment final top elevation is 6100 feet.</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With respect to the dump-slope bulldozer work:</a:t>
          </a:r>
          <a:r>
            <a:rPr lang="en-US"/>
            <a:t> </a:t>
          </a:r>
          <a:endParaRPr lang="en-US" sz="1100"/>
        </a:p>
      </xdr:txBody>
    </xdr:sp>
    <xdr:clientData/>
  </xdr:twoCellAnchor>
  <xdr:twoCellAnchor>
    <xdr:from>
      <xdr:col>0</xdr:col>
      <xdr:colOff>263237</xdr:colOff>
      <xdr:row>847</xdr:row>
      <xdr:rowOff>138544</xdr:rowOff>
    </xdr:from>
    <xdr:to>
      <xdr:col>3</xdr:col>
      <xdr:colOff>1316182</xdr:colOff>
      <xdr:row>868</xdr:row>
      <xdr:rowOff>166254</xdr:rowOff>
    </xdr:to>
    <xdr:sp macro="" textlink="">
      <xdr:nvSpPr>
        <xdr:cNvPr id="26" name="TextBox 25">
          <a:extLst>
            <a:ext uri="{FF2B5EF4-FFF2-40B4-BE49-F238E27FC236}">
              <a16:creationId xmlns:a16="http://schemas.microsoft.com/office/drawing/2014/main" id="{41FB0419-B5FD-6676-2AF3-8D8FD2D34171}"/>
            </a:ext>
          </a:extLst>
        </xdr:cNvPr>
        <xdr:cNvSpPr txBox="1"/>
      </xdr:nvSpPr>
      <xdr:spPr>
        <a:xfrm>
          <a:off x="263237" y="206557417"/>
          <a:ext cx="8506690" cy="3810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u="none" strike="noStrike" baseline="0">
              <a:solidFill>
                <a:schemeClr val="dk1"/>
              </a:solidFill>
              <a:latin typeface="+mn-lt"/>
              <a:ea typeface="+mn-ea"/>
              <a:cs typeface="+mn-cs"/>
            </a:rPr>
            <a:t>2023 Reclamation Plan:</a:t>
          </a:r>
        </a:p>
        <a:p>
          <a:r>
            <a:rPr lang="en-US" sz="1100" b="1" i="0" u="none" strike="noStrike" baseline="0">
              <a:solidFill>
                <a:schemeClr val="dk1"/>
              </a:solidFill>
              <a:latin typeface="+mn-lt"/>
              <a:ea typeface="+mn-ea"/>
              <a:cs typeface="+mn-cs"/>
            </a:rPr>
            <a:t>4.2.1 ALLUVIUM</a:t>
          </a:r>
        </a:p>
        <a:p>
          <a:r>
            <a:rPr lang="en-US" sz="1100" b="0" i="0" u="none" strike="noStrike" baseline="0">
              <a:solidFill>
                <a:schemeClr val="dk1"/>
              </a:solidFill>
              <a:latin typeface="+mn-lt"/>
              <a:ea typeface="+mn-ea"/>
              <a:cs typeface="+mn-cs"/>
            </a:rPr>
            <a:t>Characteristics of the alluvium deposit were identified using laboratory data from 846 composite samples taken at 10-foot intervals. The average texture ranges from sandy clay loam to loamy sand, with a mean coarse fragment content of 25 percent. The mean paste pH is 6.52 standard units (s.u.). Total sulfur averages 0.29 percent with a median value of 0.23 percent. </a:t>
          </a:r>
        </a:p>
        <a:p>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Preliminary calculations for Uncorrected Lime Rate (ULR)were modeled using conservative parameters and expressed as tons of CaCO3 per 1000 tons of soil (t/kt). Projected ULR rates use the Acid Base Account (ABA), balancing Acid Neutralization Potential (ANP) with Acid Generation Potential (AGP) in addition to the active acidity defined by the Shoemaker-McLean-Pratt (SMP) buffer. The projected ULR for the entirety of the alluvium resource averages about 7.5 t/kt ranging from 0 (no lime necessary) to 114.5 t/kg. </a:t>
          </a:r>
          <a:r>
            <a:rPr lang="en-US" sz="1100" b="1" i="0" u="none" strike="noStrike" baseline="0">
              <a:solidFill>
                <a:schemeClr val="dk1"/>
              </a:solidFill>
              <a:latin typeface="+mn-lt"/>
              <a:ea typeface="+mn-ea"/>
              <a:cs typeface="+mn-cs"/>
            </a:rPr>
            <a:t>The ULR for 18 inches of alluvium depth ranges from 0 tons/acre (t/ac) to 240 t/ac, averaging about 16 t/ac. </a:t>
          </a:r>
        </a:p>
        <a:p>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5.1 LIME</a:t>
          </a:r>
        </a:p>
        <a:p>
          <a:r>
            <a:rPr lang="en-US" sz="1100" b="0" i="0" u="none" strike="noStrike" baseline="0">
              <a:solidFill>
                <a:schemeClr val="dk1"/>
              </a:solidFill>
              <a:latin typeface="+mn-lt"/>
              <a:ea typeface="+mn-ea"/>
              <a:cs typeface="+mn-cs"/>
            </a:rPr>
            <a:t>"If monitoring identifies any areas where pH is below 5.5 in respread coversoil</a:t>
          </a:r>
          <a:r>
            <a:rPr lang="en-US" sz="1100" b="1" i="0" u="none" strike="noStrike" baseline="0">
              <a:solidFill>
                <a:schemeClr val="dk1"/>
              </a:solidFill>
              <a:latin typeface="+mn-lt"/>
              <a:ea typeface="+mn-ea"/>
              <a:cs typeface="+mn-cs"/>
            </a:rPr>
            <a:t>, lime will be applied at appropriate rates to raise the pH to about 6.0. Lime would be incorporated to a depth of about 18 inches."</a:t>
          </a:r>
        </a:p>
        <a:p>
          <a:endParaRPr lang="en-US" sz="1100" b="1"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Assumptions:</a:t>
          </a:r>
        </a:p>
        <a:p>
          <a:r>
            <a:rPr lang="en-US" sz="1100" b="0" i="0" u="none" strike="noStrike" baseline="0">
              <a:solidFill>
                <a:schemeClr val="dk1"/>
              </a:solidFill>
              <a:latin typeface="+mn-lt"/>
              <a:ea typeface="+mn-ea"/>
              <a:cs typeface="+mn-cs"/>
            </a:rPr>
            <a:t>Without specific information about the total area of Hillcrest hot spots that need lime amendment/repair, a portion of the Hillcrest surface area will be assumed for treatment. </a:t>
          </a:r>
        </a:p>
        <a:p>
          <a:r>
            <a:rPr lang="en-US" sz="1100" b="0" i="0" u="none" strike="noStrike" baseline="0">
              <a:solidFill>
                <a:schemeClr val="dk1"/>
              </a:solidFill>
              <a:latin typeface="+mn-lt"/>
              <a:ea typeface="+mn-ea"/>
              <a:cs typeface="+mn-cs"/>
            </a:rPr>
            <a:t>Without specific information about the ULR for the Hillcrest hot spots, the average lime rate of 16t/ac will be assumed for amendment.</a:t>
          </a:r>
          <a:endParaRPr lang="en-US" sz="1100" b="0"/>
        </a:p>
      </xdr:txBody>
    </xdr:sp>
    <xdr:clientData/>
  </xdr:twoCellAnchor>
  <xdr:twoCellAnchor editAs="oneCell">
    <xdr:from>
      <xdr:col>5</xdr:col>
      <xdr:colOff>533400</xdr:colOff>
      <xdr:row>849</xdr:row>
      <xdr:rowOff>68776</xdr:rowOff>
    </xdr:from>
    <xdr:to>
      <xdr:col>12</xdr:col>
      <xdr:colOff>701757</xdr:colOff>
      <xdr:row>873</xdr:row>
      <xdr:rowOff>41580</xdr:rowOff>
    </xdr:to>
    <xdr:pic>
      <xdr:nvPicPr>
        <xdr:cNvPr id="28" name="Picture 27">
          <a:extLst>
            <a:ext uri="{FF2B5EF4-FFF2-40B4-BE49-F238E27FC236}">
              <a16:creationId xmlns:a16="http://schemas.microsoft.com/office/drawing/2014/main" id="{DC5D7352-53C3-933C-F651-EA6FFBD82745}"/>
            </a:ext>
          </a:extLst>
        </xdr:cNvPr>
        <xdr:cNvPicPr>
          <a:picLocks noChangeAspect="1"/>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11062855" y="156569721"/>
          <a:ext cx="7763246" cy="4295423"/>
        </a:xfrm>
        <a:prstGeom prst="rect">
          <a:avLst/>
        </a:prstGeom>
        <a:ln>
          <a:solidFill>
            <a:schemeClr val="tx1"/>
          </a:solidFill>
        </a:ln>
      </xdr:spPr>
    </xdr:pic>
    <xdr:clientData/>
  </xdr:twoCellAnchor>
  <xdr:twoCellAnchor editAs="oneCell">
    <xdr:from>
      <xdr:col>5</xdr:col>
      <xdr:colOff>479464</xdr:colOff>
      <xdr:row>874</xdr:row>
      <xdr:rowOff>82137</xdr:rowOff>
    </xdr:from>
    <xdr:to>
      <xdr:col>12</xdr:col>
      <xdr:colOff>663928</xdr:colOff>
      <xdr:row>899</xdr:row>
      <xdr:rowOff>20550</xdr:rowOff>
    </xdr:to>
    <xdr:pic>
      <xdr:nvPicPr>
        <xdr:cNvPr id="31" name="Picture 30">
          <a:extLst>
            <a:ext uri="{FF2B5EF4-FFF2-40B4-BE49-F238E27FC236}">
              <a16:creationId xmlns:a16="http://schemas.microsoft.com/office/drawing/2014/main" id="{219CA490-9303-F1A0-9DED-FC0DCC1C7090}"/>
            </a:ext>
          </a:extLst>
        </xdr:cNvPr>
        <xdr:cNvPicPr>
          <a:picLocks noChangeAspect="1"/>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11008919" y="161085810"/>
          <a:ext cx="7752683" cy="4429708"/>
        </a:xfrm>
        <a:prstGeom prst="rect">
          <a:avLst/>
        </a:prstGeom>
        <a:ln>
          <a:solidFill>
            <a:schemeClr val="tx1"/>
          </a:solidFill>
        </a:ln>
      </xdr:spPr>
    </xdr:pic>
    <xdr:clientData/>
  </xdr:twoCellAnchor>
  <xdr:twoCellAnchor>
    <xdr:from>
      <xdr:col>0</xdr:col>
      <xdr:colOff>128154</xdr:colOff>
      <xdr:row>775</xdr:row>
      <xdr:rowOff>65808</xdr:rowOff>
    </xdr:from>
    <xdr:to>
      <xdr:col>3</xdr:col>
      <xdr:colOff>945573</xdr:colOff>
      <xdr:row>781</xdr:row>
      <xdr:rowOff>83127</xdr:rowOff>
    </xdr:to>
    <xdr:sp macro="" textlink="">
      <xdr:nvSpPr>
        <xdr:cNvPr id="33" name="TextBox 32">
          <a:extLst>
            <a:ext uri="{FF2B5EF4-FFF2-40B4-BE49-F238E27FC236}">
              <a16:creationId xmlns:a16="http://schemas.microsoft.com/office/drawing/2014/main" id="{7D7D6497-7E18-3B9F-6B23-2B03632945C1}"/>
            </a:ext>
          </a:extLst>
        </xdr:cNvPr>
        <xdr:cNvSpPr txBox="1"/>
      </xdr:nvSpPr>
      <xdr:spPr>
        <a:xfrm>
          <a:off x="128154" y="142878463"/>
          <a:ext cx="8271164" cy="10979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Sampling Guidelines for Respread Coversoil- from Table RP-10-3 in 2023 Reclamation Plan</a:t>
          </a:r>
          <a:r>
            <a:rPr lang="en-US"/>
            <a:t> </a:t>
          </a:r>
          <a:br>
            <a:rPr lang="en-US"/>
          </a:br>
          <a:r>
            <a:rPr lang="en-US"/>
            <a:t>DEQ does not have an in-house laboratory and</a:t>
          </a:r>
          <a:r>
            <a:rPr lang="en-US" baseline="0"/>
            <a:t> assumes that a 3rd party contractor and laboratory would be needed for sampling and analysis</a:t>
          </a:r>
          <a:endParaRPr lang="en-US"/>
        </a:p>
        <a:p>
          <a:br>
            <a:rPr lang="en-US" sz="1100"/>
          </a:br>
          <a:r>
            <a:rPr lang="en-US" sz="1100"/>
            <a:t>The Reclamation Plan also includes monitoring for vegetation and potential repairs (soil placement or amendment) or reseeding. The uncertainty with this scenario is assumed to be included in the contingency alluvium volume costs and other total bond contingency.</a:t>
          </a:r>
        </a:p>
      </xdr:txBody>
    </xdr:sp>
    <xdr:clientData/>
  </xdr:twoCellAnchor>
  <xdr:twoCellAnchor editAs="oneCell">
    <xdr:from>
      <xdr:col>8</xdr:col>
      <xdr:colOff>247847</xdr:colOff>
      <xdr:row>552</xdr:row>
      <xdr:rowOff>167938</xdr:rowOff>
    </xdr:from>
    <xdr:to>
      <xdr:col>13</xdr:col>
      <xdr:colOff>721178</xdr:colOff>
      <xdr:row>564</xdr:row>
      <xdr:rowOff>91713</xdr:rowOff>
    </xdr:to>
    <xdr:pic>
      <xdr:nvPicPr>
        <xdr:cNvPr id="2" name="Picture 1">
          <a:extLst>
            <a:ext uri="{FF2B5EF4-FFF2-40B4-BE49-F238E27FC236}">
              <a16:creationId xmlns:a16="http://schemas.microsoft.com/office/drawing/2014/main" id="{DB2B13D9-1F63-7F82-3C9B-8FED549BD470}"/>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3909418" y="99173509"/>
          <a:ext cx="5644046" cy="2038870"/>
        </a:xfrm>
        <a:prstGeom prst="rect">
          <a:avLst/>
        </a:prstGeom>
        <a:ln>
          <a:solidFill>
            <a:sysClr val="windowText" lastClr="000000"/>
          </a:solidFill>
        </a:ln>
      </xdr:spPr>
    </xdr:pic>
    <xdr:clientData/>
  </xdr:twoCellAnchor>
  <xdr:twoCellAnchor editAs="oneCell">
    <xdr:from>
      <xdr:col>6</xdr:col>
      <xdr:colOff>71502</xdr:colOff>
      <xdr:row>717</xdr:row>
      <xdr:rowOff>82634</xdr:rowOff>
    </xdr:from>
    <xdr:to>
      <xdr:col>12</xdr:col>
      <xdr:colOff>360146</xdr:colOff>
      <xdr:row>731</xdr:row>
      <xdr:rowOff>15837</xdr:rowOff>
    </xdr:to>
    <xdr:pic>
      <xdr:nvPicPr>
        <xdr:cNvPr id="17" name="Picture 16">
          <a:extLst>
            <a:ext uri="{FF2B5EF4-FFF2-40B4-BE49-F238E27FC236}">
              <a16:creationId xmlns:a16="http://schemas.microsoft.com/office/drawing/2014/main" id="{B9832E04-2910-48D6-A29E-7D82EF8163E3}"/>
            </a:ext>
          </a:extLst>
        </xdr:cNvPr>
        <xdr:cNvPicPr>
          <a:picLocks noChangeAspect="1"/>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11515109" y="155884420"/>
          <a:ext cx="6500750" cy="2594489"/>
        </a:xfrm>
        <a:prstGeom prst="rect">
          <a:avLst/>
        </a:prstGeom>
        <a:ln>
          <a:solidFill>
            <a:sysClr val="windowText" lastClr="000000"/>
          </a:solid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170491</xdr:colOff>
      <xdr:row>76</xdr:row>
      <xdr:rowOff>107895</xdr:rowOff>
    </xdr:from>
    <xdr:to>
      <xdr:col>1</xdr:col>
      <xdr:colOff>2617695</xdr:colOff>
      <xdr:row>81</xdr:row>
      <xdr:rowOff>116540</xdr:rowOff>
    </xdr:to>
    <xdr:sp macro="" textlink="">
      <xdr:nvSpPr>
        <xdr:cNvPr id="2" name="TextBox 1">
          <a:extLst>
            <a:ext uri="{FF2B5EF4-FFF2-40B4-BE49-F238E27FC236}">
              <a16:creationId xmlns:a16="http://schemas.microsoft.com/office/drawing/2014/main" id="{21E30F93-90AD-9810-042E-1B7029F6FAB3}"/>
            </a:ext>
          </a:extLst>
        </xdr:cNvPr>
        <xdr:cNvSpPr txBox="1"/>
      </xdr:nvSpPr>
      <xdr:spPr>
        <a:xfrm>
          <a:off x="170491" y="12586766"/>
          <a:ext cx="5925510" cy="9051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Assumptions:</a:t>
          </a:r>
          <a:br>
            <a:rPr lang="en-US" sz="1100"/>
          </a:br>
          <a:r>
            <a:rPr lang="en-US" sz="1100"/>
            <a:t>The estimated revegetation and weed spraying cost for a 5-year period is $1,500 per acre, which includes minor erosion repair and seeding, applying fertilizer, BMPs, etc.</a:t>
          </a:r>
        </a:p>
        <a:p>
          <a:r>
            <a:rPr lang="en-US" sz="1100"/>
            <a:t>The seeding is accomplished using a small dozer with a seeder attached to the front and a harrow pulled behind.</a:t>
          </a:r>
        </a:p>
      </xdr:txBody>
    </xdr:sp>
    <xdr:clientData/>
  </xdr:twoCellAnchor>
  <xdr:twoCellAnchor editAs="oneCell">
    <xdr:from>
      <xdr:col>0</xdr:col>
      <xdr:colOff>108859</xdr:colOff>
      <xdr:row>83</xdr:row>
      <xdr:rowOff>40820</xdr:rowOff>
    </xdr:from>
    <xdr:to>
      <xdr:col>1</xdr:col>
      <xdr:colOff>2229668</xdr:colOff>
      <xdr:row>107</xdr:row>
      <xdr:rowOff>171235</xdr:rowOff>
    </xdr:to>
    <xdr:pic>
      <xdr:nvPicPr>
        <xdr:cNvPr id="3" name="Picture 2">
          <a:extLst>
            <a:ext uri="{FF2B5EF4-FFF2-40B4-BE49-F238E27FC236}">
              <a16:creationId xmlns:a16="http://schemas.microsoft.com/office/drawing/2014/main" id="{4ECAF899-27F2-781A-153C-7329BA1A981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8859" y="13784034"/>
          <a:ext cx="5891893" cy="4702415"/>
        </a:xfrm>
        <a:prstGeom prst="rect">
          <a:avLst/>
        </a:prstGeom>
        <a:ln>
          <a:solidFill>
            <a:schemeClr val="tx1"/>
          </a:solidFill>
        </a:ln>
      </xdr:spPr>
    </xdr:pic>
    <xdr:clientData/>
  </xdr:twoCellAnchor>
  <xdr:twoCellAnchor editAs="oneCell">
    <xdr:from>
      <xdr:col>1</xdr:col>
      <xdr:colOff>2751046</xdr:colOff>
      <xdr:row>83</xdr:row>
      <xdr:rowOff>62142</xdr:rowOff>
    </xdr:from>
    <xdr:to>
      <xdr:col>8</xdr:col>
      <xdr:colOff>669967</xdr:colOff>
      <xdr:row>122</xdr:row>
      <xdr:rowOff>57010</xdr:rowOff>
    </xdr:to>
    <xdr:pic>
      <xdr:nvPicPr>
        <xdr:cNvPr id="5" name="Picture 4">
          <a:extLst>
            <a:ext uri="{FF2B5EF4-FFF2-40B4-BE49-F238E27FC236}">
              <a16:creationId xmlns:a16="http://schemas.microsoft.com/office/drawing/2014/main" id="{F7413797-4D4E-00A4-2A17-DC14BFEAFF4B}"/>
            </a:ext>
          </a:extLst>
        </xdr:cNvPr>
        <xdr:cNvPicPr>
          <a:picLocks noChangeAspect="1"/>
        </xdr:cNvPicPr>
      </xdr:nvPicPr>
      <xdr:blipFill>
        <a:blip xmlns:r="http://schemas.openxmlformats.org/officeDocument/2006/relationships" r:embed="rId2"/>
        <a:stretch>
          <a:fillRect/>
        </a:stretch>
      </xdr:blipFill>
      <xdr:spPr>
        <a:xfrm>
          <a:off x="6139225" y="13805356"/>
          <a:ext cx="5875882" cy="7435798"/>
        </a:xfrm>
        <a:prstGeom prst="rect">
          <a:avLst/>
        </a:prstGeom>
        <a:ln>
          <a:solidFill>
            <a:schemeClr val="tx1"/>
          </a:solidFill>
        </a:ln>
      </xdr:spPr>
    </xdr:pic>
    <xdr:clientData/>
  </xdr:twoCellAnchor>
  <xdr:twoCellAnchor editAs="oneCell">
    <xdr:from>
      <xdr:col>0</xdr:col>
      <xdr:colOff>108858</xdr:colOff>
      <xdr:row>109</xdr:row>
      <xdr:rowOff>83244</xdr:rowOff>
    </xdr:from>
    <xdr:to>
      <xdr:col>1</xdr:col>
      <xdr:colOff>2229666</xdr:colOff>
      <xdr:row>127</xdr:row>
      <xdr:rowOff>497</xdr:rowOff>
    </xdr:to>
    <xdr:pic>
      <xdr:nvPicPr>
        <xdr:cNvPr id="7" name="Picture 6">
          <a:extLst>
            <a:ext uri="{FF2B5EF4-FFF2-40B4-BE49-F238E27FC236}">
              <a16:creationId xmlns:a16="http://schemas.microsoft.com/office/drawing/2014/main" id="{D78F8E28-6A32-4DD4-CADE-9420252D54C1}"/>
            </a:ext>
          </a:extLst>
        </xdr:cNvPr>
        <xdr:cNvPicPr>
          <a:picLocks noChangeAspect="1"/>
        </xdr:cNvPicPr>
      </xdr:nvPicPr>
      <xdr:blipFill>
        <a:blip xmlns:r="http://schemas.openxmlformats.org/officeDocument/2006/relationships" r:embed="rId3"/>
        <a:stretch>
          <a:fillRect/>
        </a:stretch>
      </xdr:blipFill>
      <xdr:spPr>
        <a:xfrm>
          <a:off x="108858" y="18779458"/>
          <a:ext cx="5891892" cy="3346252"/>
        </a:xfrm>
        <a:prstGeom prst="rect">
          <a:avLst/>
        </a:prstGeom>
        <a:ln>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8</xdr:col>
      <xdr:colOff>172213</xdr:colOff>
      <xdr:row>258</xdr:row>
      <xdr:rowOff>93380</xdr:rowOff>
    </xdr:from>
    <xdr:ext cx="3570552" cy="5035818"/>
    <xdr:pic>
      <xdr:nvPicPr>
        <xdr:cNvPr id="8" name="Picture 7">
          <a:extLst>
            <a:ext uri="{FF2B5EF4-FFF2-40B4-BE49-F238E27FC236}">
              <a16:creationId xmlns:a16="http://schemas.microsoft.com/office/drawing/2014/main" id="{19943C95-6B1A-40E8-9855-EA91D1DE940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4930360" y="46541762"/>
          <a:ext cx="3570552" cy="5035818"/>
        </a:xfrm>
        <a:prstGeom prst="rect">
          <a:avLst/>
        </a:prstGeom>
        <a:ln>
          <a:solidFill>
            <a:sysClr val="windowText" lastClr="000000"/>
          </a:solidFill>
        </a:ln>
      </xdr:spPr>
    </xdr:pic>
    <xdr:clientData/>
  </xdr:oneCellAnchor>
  <xdr:oneCellAnchor>
    <xdr:from>
      <xdr:col>7</xdr:col>
      <xdr:colOff>679036</xdr:colOff>
      <xdr:row>209</xdr:row>
      <xdr:rowOff>21619</xdr:rowOff>
    </xdr:from>
    <xdr:ext cx="4750213" cy="5652682"/>
    <xdr:pic>
      <xdr:nvPicPr>
        <xdr:cNvPr id="9" name="Picture 8">
          <a:extLst>
            <a:ext uri="{FF2B5EF4-FFF2-40B4-BE49-F238E27FC236}">
              <a16:creationId xmlns:a16="http://schemas.microsoft.com/office/drawing/2014/main" id="{5125840E-B6C5-47E6-BA6D-D30C37E0C7C2}"/>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1591965" y="72153083"/>
          <a:ext cx="4750213" cy="5652682"/>
        </a:xfrm>
        <a:prstGeom prst="rect">
          <a:avLst/>
        </a:prstGeom>
        <a:ln>
          <a:solidFill>
            <a:sysClr val="windowText" lastClr="000000"/>
          </a:solidFill>
        </a:ln>
      </xdr:spPr>
    </xdr:pic>
    <xdr:clientData/>
  </xdr:oneCellAnchor>
  <xdr:twoCellAnchor editAs="oneCell">
    <xdr:from>
      <xdr:col>0</xdr:col>
      <xdr:colOff>217713</xdr:colOff>
      <xdr:row>109</xdr:row>
      <xdr:rowOff>54428</xdr:rowOff>
    </xdr:from>
    <xdr:to>
      <xdr:col>1</xdr:col>
      <xdr:colOff>1236526</xdr:colOff>
      <xdr:row>142</xdr:row>
      <xdr:rowOff>1985</xdr:rowOff>
    </xdr:to>
    <xdr:pic>
      <xdr:nvPicPr>
        <xdr:cNvPr id="18" name="Picture 17">
          <a:extLst>
            <a:ext uri="{FF2B5EF4-FFF2-40B4-BE49-F238E27FC236}">
              <a16:creationId xmlns:a16="http://schemas.microsoft.com/office/drawing/2014/main" id="{69BD827A-901A-9FE9-0E78-B1592B2E6E14}"/>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217713" y="52509964"/>
          <a:ext cx="4935765" cy="6234057"/>
        </a:xfrm>
        <a:prstGeom prst="rect">
          <a:avLst/>
        </a:prstGeom>
        <a:ln>
          <a:solidFill>
            <a:schemeClr val="tx1"/>
          </a:solidFill>
        </a:ln>
      </xdr:spPr>
    </xdr:pic>
    <xdr:clientData/>
  </xdr:twoCellAnchor>
  <xdr:twoCellAnchor>
    <xdr:from>
      <xdr:col>0</xdr:col>
      <xdr:colOff>272143</xdr:colOff>
      <xdr:row>172</xdr:row>
      <xdr:rowOff>68036</xdr:rowOff>
    </xdr:from>
    <xdr:to>
      <xdr:col>6</xdr:col>
      <xdr:colOff>27214</xdr:colOff>
      <xdr:row>198</xdr:row>
      <xdr:rowOff>13608</xdr:rowOff>
    </xdr:to>
    <xdr:sp macro="" textlink="">
      <xdr:nvSpPr>
        <xdr:cNvPr id="22" name="TextBox 21">
          <a:extLst>
            <a:ext uri="{FF2B5EF4-FFF2-40B4-BE49-F238E27FC236}">
              <a16:creationId xmlns:a16="http://schemas.microsoft.com/office/drawing/2014/main" id="{2DCB48E0-DA6F-4D99-A9A7-98E43A19D8FE}"/>
            </a:ext>
          </a:extLst>
        </xdr:cNvPr>
        <xdr:cNvSpPr txBox="1"/>
      </xdr:nvSpPr>
      <xdr:spPr>
        <a:xfrm>
          <a:off x="272143" y="64525072"/>
          <a:ext cx="9620250" cy="4898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Revision 25-001, 3/20 Reply:</a:t>
          </a:r>
        </a:p>
        <a:p>
          <a:r>
            <a:rPr lang="en-US" sz="1100" b="0" i="0" u="sng" strike="noStrike" baseline="0">
              <a:solidFill>
                <a:schemeClr val="dk1"/>
              </a:solidFill>
              <a:latin typeface="+mn-lt"/>
              <a:ea typeface="+mn-ea"/>
              <a:cs typeface="+mn-cs"/>
            </a:rPr>
            <a:t>E East: </a:t>
          </a:r>
          <a:r>
            <a:rPr lang="en-US" sz="1100" b="0" i="0" u="none" strike="noStrike" baseline="0">
              <a:solidFill>
                <a:schemeClr val="dk1"/>
              </a:solidFill>
              <a:latin typeface="+mn-lt"/>
              <a:ea typeface="+mn-ea"/>
              <a:cs typeface="+mn-cs"/>
            </a:rPr>
            <a:t>At this time, </a:t>
          </a:r>
          <a:r>
            <a:rPr lang="en-US" sz="1100" b="1" i="0" u="none" strike="noStrike" baseline="0">
              <a:solidFill>
                <a:schemeClr val="dk1"/>
              </a:solidFill>
              <a:latin typeface="+mn-lt"/>
              <a:ea typeface="+mn-ea"/>
              <a:cs typeface="+mn-cs"/>
            </a:rPr>
            <a:t>any drilling in the area is not anticipated to utilize larger than a 12-inch diameter completion, consisting of no more than 10,000 linear feet of well completion </a:t>
          </a:r>
          <a:r>
            <a:rPr lang="en-US" sz="1100" b="0" i="0" u="none" strike="noStrike" baseline="0">
              <a:solidFill>
                <a:schemeClr val="dk1"/>
              </a:solidFill>
              <a:latin typeface="+mn-lt"/>
              <a:ea typeface="+mn-ea"/>
              <a:cs typeface="+mn-cs"/>
            </a:rPr>
            <a:t>(in total). It is anticipated that any new roads would be maintained, post-mining, for site security near the east-northeast extent of the permit boundary.  </a:t>
          </a:r>
          <a:r>
            <a:rPr lang="en-US" sz="1100" b="0" i="0" baseline="0">
              <a:solidFill>
                <a:schemeClr val="dk1"/>
              </a:solidFill>
              <a:effectLst/>
              <a:latin typeface="+mn-lt"/>
              <a:ea typeface="+mn-ea"/>
              <a:cs typeface="+mn-cs"/>
            </a:rPr>
            <a:t>New disturbances associated with highwall stabilization are not known at this time and cannot be differentiated; however, </a:t>
          </a:r>
          <a:r>
            <a:rPr lang="en-US" sz="1100" b="1" i="0" baseline="0">
              <a:solidFill>
                <a:schemeClr val="dk1"/>
              </a:solidFill>
              <a:effectLst/>
              <a:latin typeface="+mn-lt"/>
              <a:ea typeface="+mn-ea"/>
              <a:cs typeface="+mn-cs"/>
            </a:rPr>
            <a:t>total new disturbance in this area will not exceed 10 acres</a:t>
          </a:r>
          <a:r>
            <a:rPr lang="en-US" sz="1100" b="0" i="0" baseline="0">
              <a:solidFill>
                <a:schemeClr val="dk1"/>
              </a:solidFill>
              <a:effectLst/>
              <a:latin typeface="+mn-lt"/>
              <a:ea typeface="+mn-ea"/>
              <a:cs typeface="+mn-cs"/>
            </a:rPr>
            <a:t>. Even though it is anticipated that any new roads would be maintained, postmining, for the purposes of this revision, the (up to) 10 acres of new disturbance can be considered for future reclamation.</a:t>
          </a:r>
          <a:endParaRPr lang="en-US" sz="1100" b="0" i="0" u="none" strike="noStrike" baseline="0">
            <a:solidFill>
              <a:schemeClr val="dk1"/>
            </a:solidFill>
            <a:latin typeface="+mn-lt"/>
            <a:ea typeface="+mn-ea"/>
            <a:cs typeface="+mn-cs"/>
          </a:endParaRPr>
        </a:p>
        <a:p>
          <a:br>
            <a:rPr lang="en-US" sz="1100" b="0" i="0" u="none" strike="noStrike" baseline="0">
              <a:solidFill>
                <a:schemeClr val="dk1"/>
              </a:solidFill>
              <a:latin typeface="+mn-lt"/>
              <a:ea typeface="+mn-ea"/>
              <a:cs typeface="+mn-cs"/>
            </a:rPr>
          </a:br>
          <a:r>
            <a:rPr lang="en-US" sz="1100" b="0" i="0" u="sng" strike="noStrike" baseline="0">
              <a:solidFill>
                <a:schemeClr val="dk1"/>
              </a:solidFill>
              <a:latin typeface="+mn-lt"/>
              <a:ea typeface="+mn-ea"/>
              <a:cs typeface="+mn-cs"/>
            </a:rPr>
            <a:t>Dewatering: </a:t>
          </a:r>
          <a:r>
            <a:rPr lang="en-US" sz="1100" b="0" i="0" u="none" strike="noStrike" baseline="0">
              <a:solidFill>
                <a:schemeClr val="dk1"/>
              </a:solidFill>
              <a:latin typeface="+mn-lt"/>
              <a:ea typeface="+mn-ea"/>
              <a:cs typeface="+mn-cs"/>
            </a:rPr>
            <a:t>It is anticipated that flows would be minor, especially relative to existing sitewide flows and water management (i.e., hundreds of gallons per day (or less) versus millions of gallons per day). Also, it is anticipated that dewatering flows would ultimately be routed in temporary pipelines from well(s) to existing conveyance structures that are included in MR’s water resources monitoring program (WQ-2 or WQ-5), sampled semi-annually and reported in MR’s Annual Progress Report for Operating Permit. Any dewatering being considered is not planned to occur during post-mining.</a:t>
          </a:r>
          <a:br>
            <a:rPr lang="en-US" sz="1100" b="0" i="0" u="none" strike="noStrike" baseline="0">
              <a:solidFill>
                <a:schemeClr val="dk1"/>
              </a:solidFill>
              <a:latin typeface="+mn-lt"/>
              <a:ea typeface="+mn-ea"/>
              <a:cs typeface="+mn-cs"/>
            </a:rPr>
          </a:br>
          <a:endParaRPr lang="en-US" sz="1100" b="0" i="0" u="none" strike="noStrike" baseline="0">
            <a:solidFill>
              <a:schemeClr val="dk1"/>
            </a:solidFill>
            <a:latin typeface="+mn-lt"/>
            <a:ea typeface="+mn-ea"/>
            <a:cs typeface="+mn-cs"/>
          </a:endParaRPr>
        </a:p>
        <a:p>
          <a:r>
            <a:rPr lang="en-US" sz="1100" b="0" i="0" u="sng" strike="noStrike" baseline="0">
              <a:solidFill>
                <a:schemeClr val="dk1"/>
              </a:solidFill>
              <a:latin typeface="+mn-lt"/>
              <a:ea typeface="+mn-ea"/>
              <a:cs typeface="+mn-cs"/>
            </a:rPr>
            <a:t>Sitewide Drilling:</a:t>
          </a:r>
          <a:r>
            <a:rPr lang="en-US" sz="1100" b="0" i="0" u="none" strike="noStrike" baseline="0">
              <a:solidFill>
                <a:schemeClr val="dk1"/>
              </a:solidFill>
              <a:latin typeface="+mn-lt"/>
              <a:ea typeface="+mn-ea"/>
              <a:cs typeface="+mn-cs"/>
            </a:rPr>
            <a:t> Locations for other sitewide drilling activities are anticipated to be in previously disturbed areas. Otherwise, footprints would be minimized, and if outside the Continental Pit footprint, would be included in other site reporting (i.e., reports provided by Engineer of Record and/or MR Annual Progress Report(s) for Operating Permit)</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Applicable Reclamation Methods:</a:t>
          </a:r>
          <a:br>
            <a:rPr lang="en-US" sz="1100" b="1"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 </a:t>
          </a:r>
          <a:r>
            <a:rPr lang="en-US" sz="1100" b="1" i="0" u="none" strike="noStrike" baseline="0">
              <a:solidFill>
                <a:schemeClr val="dk1"/>
              </a:solidFill>
              <a:latin typeface="+mn-lt"/>
              <a:ea typeface="+mn-ea"/>
              <a:cs typeface="+mn-cs"/>
            </a:rPr>
            <a:t>Wells and drillholes used in the mining operation, that are deemed unnecessarry, would be decommissioned in accordance with ARM 17.24.106, 17.24.107, and/or 36.21.810 (see Section 8.9.1)</a:t>
          </a:r>
        </a:p>
        <a:p>
          <a:r>
            <a:rPr lang="en-US" sz="1100" b="1" i="0" u="none" strike="noStrike" baseline="0">
              <a:solidFill>
                <a:schemeClr val="dk1"/>
              </a:solidFill>
              <a:latin typeface="+mn-lt"/>
              <a:ea typeface="+mn-ea"/>
              <a:cs typeface="+mn-cs"/>
            </a:rPr>
            <a:t>-- Monitoring wells not required for postclosure monitoring would be abandoned in accordance with ARM 36.21.810 and reclaimed per MCA 82-4-336(9).</a:t>
          </a:r>
        </a:p>
        <a:p>
          <a:r>
            <a:rPr lang="en-US" sz="1100" b="1" i="0" u="none" strike="noStrike" baseline="0">
              <a:solidFill>
                <a:schemeClr val="dk1"/>
              </a:solidFill>
              <a:latin typeface="+mn-lt"/>
              <a:ea typeface="+mn-ea"/>
              <a:cs typeface="+mn-cs"/>
            </a:rPr>
            <a:t>-- Exploration disturbances, including drillholes, wells, pads, and access roads not required for post-closure monitoring, will be abandoned and reclaimed per ARM 17.24.104 through 17.24.107 and MCA 82-4-332(4) and 82-4-336(9)(a).</a:t>
          </a:r>
        </a:p>
        <a:p>
          <a:r>
            <a:rPr lang="en-US" sz="1100" b="0" i="0" u="none" strike="noStrike" baseline="0">
              <a:solidFill>
                <a:schemeClr val="dk1"/>
              </a:solidFill>
              <a:latin typeface="+mn-lt"/>
              <a:ea typeface="+mn-ea"/>
              <a:cs typeface="+mn-cs"/>
            </a:rPr>
            <a:t>-- Long-term monitoring sites in previously undisturbed areas will be ripped as necessary, regraded, covered with 6 inches of topsoil (if topsoil was previously removed), amended as recommended by testing, and revegetated as described in Section 6.0. The same reclamation methods would apply to long-term monitoring sites in disturbed ground, except that coversoil application would be consistent with adjacent areas and the slope specifications described in Section 4.4.</a:t>
          </a:r>
        </a:p>
        <a:p>
          <a:r>
            <a:rPr lang="en-US" sz="1100" b="0" i="0" u="none" strike="noStrike" baseline="0">
              <a:solidFill>
                <a:schemeClr val="dk1"/>
              </a:solidFill>
              <a:latin typeface="+mn-lt"/>
              <a:ea typeface="+mn-ea"/>
              <a:cs typeface="+mn-cs"/>
            </a:rPr>
            <a:t>-- When monitoring wells and drillholes are no longer needed, they would be abandoned per ARM 17.24.106, 17.24.107, 36.21.670, and/or 36.21.810; pads would be graded to a stable configuration per ARM 17.24.107(4) and seeded using MR’s permanent mix in Table RP-6-1.</a:t>
          </a:r>
        </a:p>
      </xdr:txBody>
    </xdr:sp>
    <xdr:clientData/>
  </xdr:twoCellAnchor>
  <xdr:twoCellAnchor editAs="oneCell">
    <xdr:from>
      <xdr:col>1</xdr:col>
      <xdr:colOff>1324509</xdr:colOff>
      <xdr:row>109</xdr:row>
      <xdr:rowOff>44471</xdr:rowOff>
    </xdr:from>
    <xdr:to>
      <xdr:col>6</xdr:col>
      <xdr:colOff>213178</xdr:colOff>
      <xdr:row>121</xdr:row>
      <xdr:rowOff>95074</xdr:rowOff>
    </xdr:to>
    <xdr:pic>
      <xdr:nvPicPr>
        <xdr:cNvPr id="27" name="Picture 26">
          <a:extLst>
            <a:ext uri="{FF2B5EF4-FFF2-40B4-BE49-F238E27FC236}">
              <a16:creationId xmlns:a16="http://schemas.microsoft.com/office/drawing/2014/main" id="{642DB6BF-3321-404B-AE6C-DDFCB63D0BFB}"/>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5342327" y="29471526"/>
          <a:ext cx="5353027" cy="2213819"/>
        </a:xfrm>
        <a:prstGeom prst="rect">
          <a:avLst/>
        </a:prstGeom>
        <a:ln>
          <a:solidFill>
            <a:sysClr val="windowText" lastClr="000000"/>
          </a:solidFill>
        </a:ln>
      </xdr:spPr>
    </xdr:pic>
    <xdr:clientData/>
  </xdr:twoCellAnchor>
  <xdr:twoCellAnchor editAs="oneCell">
    <xdr:from>
      <xdr:col>0</xdr:col>
      <xdr:colOff>382235</xdr:colOff>
      <xdr:row>617</xdr:row>
      <xdr:rowOff>164276</xdr:rowOff>
    </xdr:from>
    <xdr:to>
      <xdr:col>2</xdr:col>
      <xdr:colOff>860133</xdr:colOff>
      <xdr:row>659</xdr:row>
      <xdr:rowOff>136812</xdr:rowOff>
    </xdr:to>
    <xdr:pic>
      <xdr:nvPicPr>
        <xdr:cNvPr id="6" name="Picture 5">
          <a:extLst>
            <a:ext uri="{FF2B5EF4-FFF2-40B4-BE49-F238E27FC236}">
              <a16:creationId xmlns:a16="http://schemas.microsoft.com/office/drawing/2014/main" id="{F2AD2998-BFE0-EDF6-8DCB-EBABDD6370AE}"/>
            </a:ext>
          </a:extLst>
        </xdr:cNvPr>
        <xdr:cNvPicPr>
          <a:picLocks noChangeAspect="1"/>
        </xdr:cNvPicPr>
      </xdr:nvPicPr>
      <xdr:blipFill>
        <a:blip xmlns:r="http://schemas.openxmlformats.org/officeDocument/2006/relationships" r:embed="rId5"/>
        <a:stretch>
          <a:fillRect/>
        </a:stretch>
      </xdr:blipFill>
      <xdr:spPr>
        <a:xfrm>
          <a:off x="382235" y="103823985"/>
          <a:ext cx="6108558" cy="7529498"/>
        </a:xfrm>
        <a:prstGeom prst="rect">
          <a:avLst/>
        </a:prstGeom>
        <a:ln>
          <a:solidFill>
            <a:schemeClr val="tx1"/>
          </a:solidFill>
        </a:ln>
      </xdr:spPr>
    </xdr:pic>
    <xdr:clientData/>
  </xdr:twoCellAnchor>
  <xdr:twoCellAnchor>
    <xdr:from>
      <xdr:col>0</xdr:col>
      <xdr:colOff>149182</xdr:colOff>
      <xdr:row>604</xdr:row>
      <xdr:rowOff>33277</xdr:rowOff>
    </xdr:from>
    <xdr:to>
      <xdr:col>6</xdr:col>
      <xdr:colOff>166254</xdr:colOff>
      <xdr:row>616</xdr:row>
      <xdr:rowOff>96982</xdr:rowOff>
    </xdr:to>
    <xdr:sp macro="" textlink="">
      <xdr:nvSpPr>
        <xdr:cNvPr id="12" name="TextBox 11">
          <a:extLst>
            <a:ext uri="{FF2B5EF4-FFF2-40B4-BE49-F238E27FC236}">
              <a16:creationId xmlns:a16="http://schemas.microsoft.com/office/drawing/2014/main" id="{595F753C-21AC-43AD-AF8E-9FFA0F4F5467}"/>
            </a:ext>
          </a:extLst>
        </xdr:cNvPr>
        <xdr:cNvSpPr txBox="1"/>
      </xdr:nvSpPr>
      <xdr:spPr>
        <a:xfrm>
          <a:off x="149182" y="101351568"/>
          <a:ext cx="10241727" cy="22250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2023 Reclamation Plan: </a:t>
          </a:r>
          <a:br>
            <a:rPr lang="en-US" sz="1100" b="1"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10.5 WATER RESOURCES MONITORING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Following cessation of mining operations, a post-closure water monitoring program would be implemented. During the final phases of mine operations, a post-closure monitoring plan would be developed in consultation with DEQ based on the final mine facilities layout and operational phase monitoring results. The post-closure water monitoring program would be used in conjunction with other reclamation and revegetation monitoring to document post-reclamation conditions at the former mine site and surrounding water resources. Post-closure monitoring would occur until such time as the mine is certified as fully reclaimed and all bonding release milestones are met, or as determined in the post-closure monitoring program to be developed in conjunction with DEQ. After termination of the post-closure water monitoring, any continued water monitoring would occur as part of the BMFOU program, if necessary.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Assumptions:</a:t>
          </a:r>
          <a:br>
            <a:rPr lang="en-US" sz="1100" b="0" i="0" u="none" strike="noStrike" baseline="0">
              <a:solidFill>
                <a:schemeClr val="dk1"/>
              </a:solidFill>
              <a:latin typeface="+mn-lt"/>
              <a:ea typeface="+mn-ea"/>
              <a:cs typeface="+mn-cs"/>
            </a:rPr>
          </a:br>
          <a:r>
            <a:rPr lang="en-US" sz="1100" b="0" i="0" u="none" strike="noStrike">
              <a:solidFill>
                <a:schemeClr val="dk1"/>
              </a:solidFill>
              <a:effectLst/>
              <a:latin typeface="+mn-lt"/>
              <a:ea typeface="+mn-ea"/>
              <a:cs typeface="+mn-cs"/>
            </a:rPr>
            <a:t>All wells are monitored during the spring (June) and fall (October) for a 20-year period (Amendment 010) (see Table 10-2)</a:t>
          </a:r>
          <a:r>
            <a:rPr lang="en-US"/>
            <a:t> </a:t>
          </a:r>
          <a:r>
            <a:rPr lang="en-US" sz="1100" b="0" i="0" u="none" strike="noStrike">
              <a:solidFill>
                <a:schemeClr val="dk1"/>
              </a:solidFill>
              <a:effectLst/>
              <a:latin typeface="+mn-lt"/>
              <a:ea typeface="+mn-ea"/>
              <a:cs typeface="+mn-cs"/>
            </a:rPr>
            <a:t>A third party contractor would be hired to do the sampling and data reporting</a:t>
          </a:r>
          <a:r>
            <a:rPr lang="en-US"/>
            <a:t> </a:t>
          </a:r>
          <a:endParaRPr lang="en-US" sz="1100"/>
        </a:p>
      </xdr:txBody>
    </xdr:sp>
    <xdr:clientData/>
  </xdr:twoCellAnchor>
  <xdr:twoCellAnchor editAs="oneCell">
    <xdr:from>
      <xdr:col>4</xdr:col>
      <xdr:colOff>99577</xdr:colOff>
      <xdr:row>454</xdr:row>
      <xdr:rowOff>13422</xdr:rowOff>
    </xdr:from>
    <xdr:to>
      <xdr:col>7</xdr:col>
      <xdr:colOff>2003888</xdr:colOff>
      <xdr:row>494</xdr:row>
      <xdr:rowOff>98344</xdr:rowOff>
    </xdr:to>
    <xdr:pic>
      <xdr:nvPicPr>
        <xdr:cNvPr id="15" name="Picture 14">
          <a:extLst>
            <a:ext uri="{FF2B5EF4-FFF2-40B4-BE49-F238E27FC236}">
              <a16:creationId xmlns:a16="http://schemas.microsoft.com/office/drawing/2014/main" id="{74D20896-F1AE-81CC-80E6-80751EFEB154}"/>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8121359" y="73193131"/>
          <a:ext cx="5575988" cy="7298811"/>
        </a:xfrm>
        <a:prstGeom prst="rect">
          <a:avLst/>
        </a:prstGeom>
        <a:ln>
          <a:solidFill>
            <a:schemeClr val="tx1"/>
          </a:solidFill>
        </a:ln>
      </xdr:spPr>
    </xdr:pic>
    <xdr:clientData/>
  </xdr:twoCellAnchor>
  <xdr:twoCellAnchor editAs="oneCell">
    <xdr:from>
      <xdr:col>2</xdr:col>
      <xdr:colOff>993571</xdr:colOff>
      <xdr:row>618</xdr:row>
      <xdr:rowOff>68035</xdr:rowOff>
    </xdr:from>
    <xdr:to>
      <xdr:col>7</xdr:col>
      <xdr:colOff>1355098</xdr:colOff>
      <xdr:row>659</xdr:row>
      <xdr:rowOff>132286</xdr:rowOff>
    </xdr:to>
    <xdr:pic>
      <xdr:nvPicPr>
        <xdr:cNvPr id="4" name="Picture 3">
          <a:extLst>
            <a:ext uri="{FF2B5EF4-FFF2-40B4-BE49-F238E27FC236}">
              <a16:creationId xmlns:a16="http://schemas.microsoft.com/office/drawing/2014/main" id="{A757B068-1F7E-57BD-7AD1-B495C7E76EA4}"/>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618516" y="103907853"/>
          <a:ext cx="6418611" cy="7448724"/>
        </a:xfrm>
        <a:prstGeom prst="rect">
          <a:avLst/>
        </a:prstGeom>
        <a:ln>
          <a:solidFill>
            <a:schemeClr val="tx1"/>
          </a:solidFill>
        </a:ln>
      </xdr:spPr>
    </xdr:pic>
    <xdr:clientData/>
  </xdr:twoCellAnchor>
  <xdr:twoCellAnchor>
    <xdr:from>
      <xdr:col>0</xdr:col>
      <xdr:colOff>204107</xdr:colOff>
      <xdr:row>144</xdr:row>
      <xdr:rowOff>176893</xdr:rowOff>
    </xdr:from>
    <xdr:to>
      <xdr:col>2</xdr:col>
      <xdr:colOff>653142</xdr:colOff>
      <xdr:row>151</xdr:row>
      <xdr:rowOff>13607</xdr:rowOff>
    </xdr:to>
    <xdr:sp macro="" textlink="">
      <xdr:nvSpPr>
        <xdr:cNvPr id="19" name="TextBox 18">
          <a:extLst>
            <a:ext uri="{FF2B5EF4-FFF2-40B4-BE49-F238E27FC236}">
              <a16:creationId xmlns:a16="http://schemas.microsoft.com/office/drawing/2014/main" id="{5CBE6CA6-2320-E4DF-ACF0-833D7BC206AD}"/>
            </a:ext>
          </a:extLst>
        </xdr:cNvPr>
        <xdr:cNvSpPr txBox="1"/>
      </xdr:nvSpPr>
      <xdr:spPr>
        <a:xfrm>
          <a:off x="204107" y="59299929"/>
          <a:ext cx="5932714" cy="1170214"/>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Assumptions: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Well depth information gathered from Table 4-1 in September 2017 OP Amendment Application.</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At the end of post-closure monitoring, wells must be plugged and abandoned. Hole plugging rate includes equipment, personel, and materials to backfill hole.</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Plugging includes bentonite from the bottom to within 5-10 feet of surface, then cement fill from top of bentonite to land surface, per MT ARM 17.24.106(2)</a:t>
          </a:r>
          <a:r>
            <a:rPr lang="en-US"/>
            <a:t> </a:t>
          </a:r>
          <a:endParaRPr lang="en-US" sz="1100"/>
        </a:p>
      </xdr:txBody>
    </xdr:sp>
    <xdr:clientData/>
  </xdr:twoCellAnchor>
  <xdr:twoCellAnchor>
    <xdr:from>
      <xdr:col>0</xdr:col>
      <xdr:colOff>272143</xdr:colOff>
      <xdr:row>203</xdr:row>
      <xdr:rowOff>108857</xdr:rowOff>
    </xdr:from>
    <xdr:to>
      <xdr:col>5</xdr:col>
      <xdr:colOff>1274618</xdr:colOff>
      <xdr:row>219</xdr:row>
      <xdr:rowOff>83127</xdr:rowOff>
    </xdr:to>
    <xdr:sp macro="" textlink="">
      <xdr:nvSpPr>
        <xdr:cNvPr id="21" name="TextBox 20">
          <a:extLst>
            <a:ext uri="{FF2B5EF4-FFF2-40B4-BE49-F238E27FC236}">
              <a16:creationId xmlns:a16="http://schemas.microsoft.com/office/drawing/2014/main" id="{FA693C8E-2617-20F4-CB60-6CC9ED5C805C}"/>
            </a:ext>
          </a:extLst>
        </xdr:cNvPr>
        <xdr:cNvSpPr txBox="1"/>
      </xdr:nvSpPr>
      <xdr:spPr>
        <a:xfrm>
          <a:off x="272143" y="45246966"/>
          <a:ext cx="10146475" cy="28560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baseline="0">
              <a:solidFill>
                <a:schemeClr val="dk1"/>
              </a:solidFill>
              <a:effectLst/>
              <a:latin typeface="+mn-lt"/>
              <a:ea typeface="+mn-ea"/>
              <a:cs typeface="+mn-cs"/>
            </a:rPr>
            <a:t>2023 Rec Plan:</a:t>
          </a:r>
          <a:br>
            <a:rPr lang="en-US" sz="1100" b="1" i="0" baseline="0">
              <a:solidFill>
                <a:schemeClr val="dk1"/>
              </a:solidFill>
              <a:effectLst/>
              <a:latin typeface="+mn-lt"/>
              <a:ea typeface="+mn-ea"/>
              <a:cs typeface="+mn-cs"/>
            </a:rPr>
          </a:br>
          <a:r>
            <a:rPr lang="en-US" sz="1100" b="1" i="0" baseline="0">
              <a:solidFill>
                <a:schemeClr val="dk1"/>
              </a:solidFill>
              <a:effectLst/>
              <a:latin typeface="+mn-lt"/>
              <a:ea typeface="+mn-ea"/>
              <a:cs typeface="+mn-cs"/>
            </a:rPr>
            <a:t>8.1.4 Closure Spillway </a:t>
          </a:r>
          <a:endParaRPr lang="en-US">
            <a:effectLst/>
          </a:endParaRPr>
        </a:p>
        <a:p>
          <a:r>
            <a:rPr lang="en-US" sz="1100" b="0" i="0" baseline="0">
              <a:solidFill>
                <a:schemeClr val="dk1"/>
              </a:solidFill>
              <a:effectLst/>
              <a:latin typeface="+mn-lt"/>
              <a:ea typeface="+mn-ea"/>
              <a:cs typeface="+mn-cs"/>
            </a:rPr>
            <a:t>A conceptual closure spillway has been designed to prevent water from pooling against the embankment (Figure RP-8-4). A conceptual design for the closure spillway is presented in Appendix B to Knight Piésold’s Reclamation Overview report of the Design Document (KP 2018b). </a:t>
          </a:r>
          <a:endParaRPr lang="en-US">
            <a:effectLst/>
          </a:endParaRPr>
        </a:p>
        <a:p>
          <a:r>
            <a:rPr lang="en-US" sz="1100" b="0" i="0" baseline="0">
              <a:solidFill>
                <a:schemeClr val="dk1"/>
              </a:solidFill>
              <a:effectLst/>
              <a:latin typeface="+mn-lt"/>
              <a:ea typeface="+mn-ea"/>
              <a:cs typeface="+mn-cs"/>
            </a:rPr>
            <a:t>The spillway walls and bottom in the segment would be excavated in bedrock. The spillway segment traversing previously disturbed areas would be regraded, covered with 20 inches of alluvium, and broadcast seeded with the mixture shown in Table RP-6-1. </a:t>
          </a:r>
          <a:endParaRPr lang="en-US">
            <a:effectLst/>
          </a:endParaRPr>
        </a:p>
        <a:p>
          <a:r>
            <a:rPr lang="en-US" sz="1100" b="1" i="0" baseline="0">
              <a:solidFill>
                <a:schemeClr val="dk1"/>
              </a:solidFill>
              <a:effectLst/>
              <a:latin typeface="+mn-lt"/>
              <a:ea typeface="+mn-ea"/>
              <a:cs typeface="+mn-cs"/>
            </a:rPr>
            <a:t>8.1.5 West Embankment Drain and Pond </a:t>
          </a:r>
          <a:endParaRPr lang="en-US">
            <a:effectLst/>
          </a:endParaRPr>
        </a:p>
        <a:p>
          <a:r>
            <a:rPr lang="en-US" sz="1100" b="0" i="0" baseline="0">
              <a:solidFill>
                <a:schemeClr val="dk1"/>
              </a:solidFill>
              <a:effectLst/>
              <a:latin typeface="+mn-lt"/>
              <a:ea typeface="+mn-ea"/>
              <a:cs typeface="+mn-cs"/>
            </a:rPr>
            <a:t>Post-closure, water collected by the WED would be managed as part of the BMFOU remedy per resolution of a stipulation to Permit Amendment 10. </a:t>
          </a:r>
          <a:endParaRPr lang="en-US">
            <a:effectLst/>
          </a:endParaRPr>
        </a:p>
        <a:p>
          <a:r>
            <a:rPr lang="en-US" sz="1100" b="0" i="0" baseline="0">
              <a:solidFill>
                <a:schemeClr val="dk1"/>
              </a:solidFill>
              <a:effectLst/>
              <a:latin typeface="+mn-lt"/>
              <a:ea typeface="+mn-ea"/>
              <a:cs typeface="+mn-cs"/>
            </a:rPr>
            <a:t>When the Extraction Pond is no longer deemed necessary, its reclamation would also be managed as part of the transition of WED flow to BMFOU remedy. </a:t>
          </a:r>
          <a:endParaRPr lang="en-US">
            <a:effectLst/>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Assumptions:</a:t>
          </a:r>
          <a:r>
            <a:rPr lang="en-US" i="0"/>
            <a:t> </a:t>
          </a:r>
          <a:r>
            <a:rPr lang="en-US" sz="1100" b="0" i="0" u="none" strike="noStrike">
              <a:solidFill>
                <a:schemeClr val="dk1"/>
              </a:solidFill>
              <a:effectLst/>
              <a:latin typeface="+mn-lt"/>
              <a:ea typeface="+mn-ea"/>
              <a:cs typeface="+mn-cs"/>
            </a:rPr>
            <a:t>A conceptual post-closure spillway design was approved through Amend 010.</a:t>
          </a:r>
          <a:r>
            <a:rPr lang="en-US"/>
            <a:t> </a:t>
          </a:r>
          <a:r>
            <a:rPr lang="en-US" sz="1100" b="0" i="0" u="none" strike="noStrike">
              <a:solidFill>
                <a:schemeClr val="dk1"/>
              </a:solidFill>
              <a:effectLst/>
              <a:latin typeface="+mn-lt"/>
              <a:ea typeface="+mn-ea"/>
              <a:cs typeface="+mn-cs"/>
            </a:rPr>
            <a:t>A detailed design will be undertaken once the facility closure is imminent and closure conditions are available.</a:t>
          </a:r>
          <a:r>
            <a:rPr lang="en-US"/>
            <a:t> </a:t>
          </a:r>
          <a:r>
            <a:rPr lang="en-US" sz="1100" b="0" i="0" u="none" strike="noStrike">
              <a:solidFill>
                <a:schemeClr val="dk1"/>
              </a:solidFill>
              <a:effectLst/>
              <a:latin typeface="+mn-lt"/>
              <a:ea typeface="+mn-ea"/>
              <a:cs typeface="+mn-cs"/>
            </a:rPr>
            <a:t>The design is located in KP's Reclamation Overview Design Document, Appendix B.</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spillway was modeled as a trapezoid channel cut into bedrock on the left abutment of the YDTI embankment.</a:t>
          </a:r>
          <a:r>
            <a:rPr lang="en-US"/>
            <a:t> </a:t>
          </a:r>
          <a:r>
            <a:rPr lang="en-US" sz="1100" b="0" i="0" u="none" strike="noStrike">
              <a:solidFill>
                <a:schemeClr val="dk1"/>
              </a:solidFill>
              <a:effectLst/>
              <a:latin typeface="+mn-lt"/>
              <a:ea typeface="+mn-ea"/>
              <a:cs typeface="+mn-cs"/>
            </a:rPr>
            <a:t>The excavated channel will extend 5,000 feet southward to a point where local topography creates a flow path to the Continental Pit.</a:t>
          </a:r>
          <a:r>
            <a:rPr lang="en-US"/>
            <a:t> </a:t>
          </a:r>
          <a:r>
            <a:rPr lang="en-US" sz="1100" b="0" i="0" u="none" strike="noStrike">
              <a:solidFill>
                <a:schemeClr val="dk1"/>
              </a:solidFill>
              <a:effectLst/>
              <a:latin typeface="+mn-lt"/>
              <a:ea typeface="+mn-ea"/>
              <a:cs typeface="+mn-cs"/>
            </a:rPr>
            <a:t>The conceptual spillway intake and channel designs and costs were provided</a:t>
          </a:r>
          <a:r>
            <a:rPr lang="en-US" sz="1100" b="0" i="0" u="none" strike="noStrike" baseline="0">
              <a:solidFill>
                <a:schemeClr val="dk1"/>
              </a:solidFill>
              <a:effectLst/>
              <a:latin typeface="+mn-lt"/>
              <a:ea typeface="+mn-ea"/>
              <a:cs typeface="+mn-cs"/>
            </a:rPr>
            <a:t> by Knight Piesold (2020), as follows:</a:t>
          </a:r>
          <a:endParaRPr lang="en-US" sz="1100"/>
        </a:p>
      </xdr:txBody>
    </xdr:sp>
    <xdr:clientData/>
  </xdr:twoCellAnchor>
  <xdr:twoCellAnchor>
    <xdr:from>
      <xdr:col>0</xdr:col>
      <xdr:colOff>312963</xdr:colOff>
      <xdr:row>390</xdr:row>
      <xdr:rowOff>27214</xdr:rowOff>
    </xdr:from>
    <xdr:to>
      <xdr:col>5</xdr:col>
      <xdr:colOff>625927</xdr:colOff>
      <xdr:row>403</xdr:row>
      <xdr:rowOff>163286</xdr:rowOff>
    </xdr:to>
    <xdr:sp macro="" textlink="">
      <xdr:nvSpPr>
        <xdr:cNvPr id="24" name="TextBox 23">
          <a:extLst>
            <a:ext uri="{FF2B5EF4-FFF2-40B4-BE49-F238E27FC236}">
              <a16:creationId xmlns:a16="http://schemas.microsoft.com/office/drawing/2014/main" id="{9003515C-C41F-A1E9-472E-5AB402356012}"/>
            </a:ext>
          </a:extLst>
        </xdr:cNvPr>
        <xdr:cNvSpPr txBox="1"/>
      </xdr:nvSpPr>
      <xdr:spPr>
        <a:xfrm>
          <a:off x="312963" y="69682178"/>
          <a:ext cx="8871857" cy="261257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Assumptions:</a:t>
          </a:r>
          <a:r>
            <a:rPr lang="en-US" b="1"/>
            <a:t> </a:t>
          </a:r>
          <a:r>
            <a:rPr lang="en-US" sz="1100" b="0" i="0" u="none" strike="noStrike">
              <a:solidFill>
                <a:schemeClr val="dk1"/>
              </a:solidFill>
              <a:effectLst/>
              <a:latin typeface="+mn-lt"/>
              <a:ea typeface="+mn-ea"/>
              <a:cs typeface="+mn-cs"/>
            </a:rPr>
            <a:t>At closure, all processing fluids and remaining tailings from the mill circuit are discharged to the impoundment. Ongoing discharge</a:t>
          </a:r>
          <a:r>
            <a:rPr lang="en-US" sz="1100" b="0" i="0" u="none" strike="noStrike" baseline="0">
              <a:solidFill>
                <a:schemeClr val="dk1"/>
              </a:solidFill>
              <a:effectLst/>
              <a:latin typeface="+mn-lt"/>
              <a:ea typeface="+mn-ea"/>
              <a:cs typeface="+mn-cs"/>
            </a:rPr>
            <a:t> of BMFOU waters into the TSF is not currently approved. </a:t>
          </a:r>
          <a:r>
            <a:rPr lang="en-US" sz="1100" b="0" i="0" u="none" strike="noStrike">
              <a:solidFill>
                <a:schemeClr val="dk1"/>
              </a:solidFill>
              <a:effectLst/>
              <a:latin typeface="+mn-lt"/>
              <a:ea typeface="+mn-ea"/>
              <a:cs typeface="+mn-cs"/>
            </a:rPr>
            <a:t>The tailings are allowed to dry naturally and consolidate, therefore are susceptible to wind erosion.</a:t>
          </a:r>
          <a:r>
            <a:rPr lang="en-US"/>
            <a:t> </a:t>
          </a:r>
          <a:br>
            <a:rPr lang="en-US"/>
          </a:br>
          <a:br>
            <a:rPr lang="en-US"/>
          </a:br>
          <a:r>
            <a:rPr lang="en-US" sz="1100" b="0" i="0" u="none" strike="noStrike">
              <a:solidFill>
                <a:schemeClr val="dk1"/>
              </a:solidFill>
              <a:effectLst/>
              <a:latin typeface="+mn-lt"/>
              <a:ea typeface="+mn-ea"/>
              <a:cs typeface="+mn-cs"/>
            </a:rPr>
            <a:t>Based on the 2025 map, a certain area can be capped with 28 inches</a:t>
          </a:r>
          <a:r>
            <a:rPr lang="en-US" sz="1100" b="0" i="0" u="none" strike="noStrike" baseline="0">
              <a:solidFill>
                <a:schemeClr val="dk1"/>
              </a:solidFill>
              <a:effectLst/>
              <a:latin typeface="+mn-lt"/>
              <a:ea typeface="+mn-ea"/>
              <a:cs typeface="+mn-cs"/>
            </a:rPr>
            <a:t> of alluvium or </a:t>
          </a:r>
          <a:r>
            <a:rPr lang="en-US" sz="1100" b="0" i="0" u="none" strike="noStrike">
              <a:solidFill>
                <a:schemeClr val="dk1"/>
              </a:solidFill>
              <a:effectLst/>
              <a:latin typeface="+mn-lt"/>
              <a:ea typeface="+mn-ea"/>
              <a:cs typeface="+mn-cs"/>
            </a:rPr>
            <a:t>22 inches of alluvium and 6 inches of topsoil</a:t>
          </a:r>
          <a:r>
            <a:rPr lang="en-US"/>
            <a:t> (see Earthmoving</a:t>
          </a:r>
          <a:r>
            <a:rPr lang="en-US" baseline="0"/>
            <a:t> tab costs) in the first 5 years of Interim and Closure tasks.</a:t>
          </a:r>
          <a:br>
            <a:rPr lang="en-US" baseline="0"/>
          </a:br>
          <a:r>
            <a:rPr lang="en-US" baseline="0"/>
            <a:t>Dust control may be neeeded for this area initially, but the area will decrease in the future as capping is completed. The exposed transition zone will need dust control in the future (see Long-Term tab).</a:t>
          </a:r>
          <a:br>
            <a:rPr lang="en-US" baseline="0"/>
          </a:br>
          <a:br>
            <a:rPr lang="en-US" baseline="0"/>
          </a:br>
          <a:r>
            <a:rPr lang="en-US" sz="1100" b="0" i="0" u="none" strike="noStrike">
              <a:solidFill>
                <a:schemeClr val="dk1"/>
              </a:solidFill>
              <a:effectLst/>
              <a:latin typeface="+mn-lt"/>
              <a:ea typeface="+mn-ea"/>
              <a:cs typeface="+mn-cs"/>
            </a:rPr>
            <a:t>The meterological station will still be available to provide live-time data (rental rates are included).</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If deemed applicable and safe, dust suppressant, such as Magnesium Chloride, will be applied using a</a:t>
          </a:r>
          <a:r>
            <a:rPr lang="en-US" sz="1100" b="0" i="0" u="none" strike="noStrike" baseline="0">
              <a:solidFill>
                <a:schemeClr val="dk1"/>
              </a:solidFill>
              <a:effectLst/>
              <a:latin typeface="+mn-lt"/>
              <a:ea typeface="+mn-ea"/>
              <a:cs typeface="+mn-cs"/>
            </a:rPr>
            <a:t> purchased</a:t>
          </a:r>
          <a:r>
            <a:rPr lang="en-US" sz="1100" b="0" i="0" u="none" strike="noStrike">
              <a:solidFill>
                <a:schemeClr val="dk1"/>
              </a:solidFill>
              <a:effectLst/>
              <a:latin typeface="+mn-lt"/>
              <a:ea typeface="+mn-ea"/>
              <a:cs typeface="+mn-cs"/>
            </a:rPr>
            <a:t> Terramac RT9. </a:t>
          </a:r>
          <a:r>
            <a:rPr lang="en-US" sz="1100" b="0" i="0">
              <a:solidFill>
                <a:schemeClr val="dk1"/>
              </a:solidFill>
              <a:effectLst/>
              <a:latin typeface="+mn-lt"/>
              <a:ea typeface="+mn-ea"/>
              <a:cs typeface="+mn-cs"/>
            </a:rPr>
            <a:t>Dust suppressant is applied to the tailings beach surface at varying application rates. </a:t>
          </a:r>
          <a:r>
            <a:rPr lang="en-US" sz="1100" b="0" i="0" u="none" strike="noStrike">
              <a:solidFill>
                <a:schemeClr val="dk1"/>
              </a:solidFill>
              <a:effectLst/>
              <a:latin typeface="+mn-lt"/>
              <a:ea typeface="+mn-ea"/>
              <a:cs typeface="+mn-cs"/>
            </a:rPr>
            <a:t>Deployment of the Terramac, requires two operators to maneuver the machine (hourly</a:t>
          </a:r>
          <a:r>
            <a:rPr lang="en-US" sz="1100" b="0" i="0" u="none" strike="noStrike" baseline="0">
              <a:solidFill>
                <a:schemeClr val="dk1"/>
              </a:solidFill>
              <a:effectLst/>
              <a:latin typeface="+mn-lt"/>
              <a:ea typeface="+mn-ea"/>
              <a:cs typeface="+mn-cs"/>
            </a:rPr>
            <a:t> rate to be included here)</a:t>
          </a:r>
          <a:r>
            <a:rPr lang="en-US" sz="1100" b="0" i="0" u="none" strike="noStrike">
              <a:solidFill>
                <a:schemeClr val="dk1"/>
              </a:solidFill>
              <a:effectLst/>
              <a:latin typeface="+mn-lt"/>
              <a:ea typeface="+mn-ea"/>
              <a:cs typeface="+mn-cs"/>
            </a:rPr>
            <a:t>.</a:t>
          </a:r>
          <a:r>
            <a:rPr lang="en-US"/>
            <a:t> </a:t>
          </a:r>
          <a:endParaRPr lang="en-US" sz="1100"/>
        </a:p>
      </xdr:txBody>
    </xdr:sp>
    <xdr:clientData/>
  </xdr:twoCellAnchor>
  <xdr:twoCellAnchor>
    <xdr:from>
      <xdr:col>0</xdr:col>
      <xdr:colOff>190501</xdr:colOff>
      <xdr:row>473</xdr:row>
      <xdr:rowOff>127658</xdr:rowOff>
    </xdr:from>
    <xdr:to>
      <xdr:col>3</xdr:col>
      <xdr:colOff>665018</xdr:colOff>
      <xdr:row>485</xdr:row>
      <xdr:rowOff>179861</xdr:rowOff>
    </xdr:to>
    <xdr:sp macro="" textlink="">
      <xdr:nvSpPr>
        <xdr:cNvPr id="5" name="TextBox 4">
          <a:extLst>
            <a:ext uri="{FF2B5EF4-FFF2-40B4-BE49-F238E27FC236}">
              <a16:creationId xmlns:a16="http://schemas.microsoft.com/office/drawing/2014/main" id="{4432FEF0-B15C-07FA-DD4F-CF629446BA5F}"/>
            </a:ext>
          </a:extLst>
        </xdr:cNvPr>
        <xdr:cNvSpPr txBox="1"/>
      </xdr:nvSpPr>
      <xdr:spPr>
        <a:xfrm>
          <a:off x="190501" y="76729440"/>
          <a:ext cx="7332517" cy="22135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Repair or Clean out the Extraction Pond:</a:t>
          </a: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This feature is to</a:t>
          </a:r>
          <a:r>
            <a:rPr lang="en-US" sz="1100" b="1" i="0" baseline="0">
              <a:solidFill>
                <a:schemeClr val="dk1"/>
              </a:solidFill>
              <a:effectLst/>
              <a:latin typeface="+mn-lt"/>
              <a:ea typeface="+mn-ea"/>
              <a:cs typeface="+mn-cs"/>
            </a:rPr>
            <a:t> be managed under BMFOU (as outcome to Amend 010 Stipulation)- no bond required for Hard Rock Mining Operating Permit.</a:t>
          </a:r>
          <a:br>
            <a:rPr lang="en-US" sz="1100" b="1" i="0">
              <a:solidFill>
                <a:schemeClr val="dk1"/>
              </a:solidFill>
              <a:effectLst/>
              <a:latin typeface="+mn-lt"/>
              <a:ea typeface="+mn-ea"/>
              <a:cs typeface="+mn-cs"/>
            </a:rPr>
          </a:b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Assumptions from 2020 Bond:</a:t>
          </a:r>
          <a:r>
            <a:rPr lang="en-US" sz="1100" b="1">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Extraction Pond may become damaged or require maintenance.</a:t>
          </a:r>
          <a:r>
            <a:rPr lang="en-US"/>
            <a:t> </a:t>
          </a:r>
          <a:r>
            <a:rPr lang="en-US" sz="1100" b="0" i="0" u="none" strike="noStrike">
              <a:solidFill>
                <a:schemeClr val="dk1"/>
              </a:solidFill>
              <a:effectLst/>
              <a:latin typeface="+mn-lt"/>
              <a:ea typeface="+mn-ea"/>
              <a:cs typeface="+mn-cs"/>
            </a:rPr>
            <a:t>The Extraction Basins with two installed wells would remove seepage from the WED and return to the YDTI, while the pond is repaired.</a:t>
          </a:r>
          <a:r>
            <a:rPr lang="en-US"/>
            <a:t> </a:t>
          </a:r>
          <a:r>
            <a:rPr lang="en-US" sz="1100" b="0" i="0" u="none" strike="noStrike">
              <a:solidFill>
                <a:schemeClr val="dk1"/>
              </a:solidFill>
              <a:effectLst/>
              <a:latin typeface="+mn-lt"/>
              <a:ea typeface="+mn-ea"/>
              <a:cs typeface="+mn-cs"/>
            </a:rPr>
            <a:t>The nature and extent of the repair or clean out work is unknown, so a yearly cost of $50,000 is assumed.</a:t>
          </a:r>
          <a:r>
            <a:rPr lang="en-US"/>
            <a:t> </a:t>
          </a:r>
          <a:r>
            <a:rPr lang="en-US" sz="1100" b="0" i="0" u="none" strike="noStrike">
              <a:solidFill>
                <a:schemeClr val="dk1"/>
              </a:solidFill>
              <a:effectLst/>
              <a:latin typeface="+mn-lt"/>
              <a:ea typeface="+mn-ea"/>
              <a:cs typeface="+mn-cs"/>
            </a:rPr>
            <a:t>It is assumed that the pond elevation will not exceed 6380 feet in the next 5 years, see "Water Treatment" tab.</a:t>
          </a:r>
          <a:r>
            <a:rPr lang="en-US" sz="1100" b="0" i="0" u="none" strike="noStrike" baseline="0">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Therefore, hydrodynamic containment through use of the WED and other contingency features would not be required. </a:t>
          </a:r>
          <a:r>
            <a:rPr lang="en-US"/>
            <a:t> </a:t>
          </a:r>
          <a:r>
            <a:rPr lang="en-US" sz="1100" b="0" i="0" u="none" strike="noStrike">
              <a:solidFill>
                <a:schemeClr val="dk1"/>
              </a:solidFill>
              <a:effectLst/>
              <a:latin typeface="+mn-lt"/>
              <a:ea typeface="+mn-ea"/>
              <a:cs typeface="+mn-cs"/>
            </a:rPr>
            <a:t>The Extraction Pond would not be needed to contain water prior to treatment and being pumped back to the YDTI pond</a:t>
          </a:r>
          <a:r>
            <a:rPr lang="en-US"/>
            <a:t> </a:t>
          </a:r>
          <a:r>
            <a:rPr lang="en-US" sz="1100" b="0" i="0" u="none" strike="noStrike">
              <a:solidFill>
                <a:schemeClr val="dk1"/>
              </a:solidFill>
              <a:effectLst/>
              <a:latin typeface="+mn-lt"/>
              <a:ea typeface="+mn-ea"/>
              <a:cs typeface="+mn-cs"/>
            </a:rPr>
            <a:t>The WED would be plugged in the case of an unforeseen closure in the next 5 year period.</a:t>
          </a:r>
          <a:r>
            <a:rPr lang="en-US"/>
            <a:t> </a:t>
          </a:r>
          <a:br>
            <a:rPr lang="en-US" sz="1100" b="1">
              <a:solidFill>
                <a:schemeClr val="dk1"/>
              </a:solidFill>
              <a:effectLst/>
              <a:latin typeface="+mn-lt"/>
              <a:ea typeface="+mn-ea"/>
              <a:cs typeface="+mn-cs"/>
            </a:rPr>
          </a:br>
          <a:endParaRPr lang="en-US" sz="1100"/>
        </a:p>
      </xdr:txBody>
    </xdr:sp>
    <xdr:clientData/>
  </xdr:twoCellAnchor>
  <xdr:twoCellAnchor>
    <xdr:from>
      <xdr:col>0</xdr:col>
      <xdr:colOff>190502</xdr:colOff>
      <xdr:row>454</xdr:row>
      <xdr:rowOff>108856</xdr:rowOff>
    </xdr:from>
    <xdr:to>
      <xdr:col>3</xdr:col>
      <xdr:colOff>969818</xdr:colOff>
      <xdr:row>473</xdr:row>
      <xdr:rowOff>41562</xdr:rowOff>
    </xdr:to>
    <xdr:sp macro="" textlink="">
      <xdr:nvSpPr>
        <xdr:cNvPr id="7" name="TextBox 6">
          <a:extLst>
            <a:ext uri="{FF2B5EF4-FFF2-40B4-BE49-F238E27FC236}">
              <a16:creationId xmlns:a16="http://schemas.microsoft.com/office/drawing/2014/main" id="{887BAE18-F9B9-F262-2D43-66A0E43703C1}"/>
            </a:ext>
          </a:extLst>
        </xdr:cNvPr>
        <xdr:cNvSpPr txBox="1"/>
      </xdr:nvSpPr>
      <xdr:spPr>
        <a:xfrm>
          <a:off x="190502" y="73288565"/>
          <a:ext cx="7637316" cy="33547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Plug WED:</a:t>
          </a: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This feature is to</a:t>
          </a:r>
          <a:r>
            <a:rPr lang="en-US" sz="1100" b="1" i="0" u="none" strike="noStrike" baseline="0">
              <a:solidFill>
                <a:schemeClr val="dk1"/>
              </a:solidFill>
              <a:effectLst/>
              <a:latin typeface="+mn-lt"/>
              <a:ea typeface="+mn-ea"/>
              <a:cs typeface="+mn-cs"/>
            </a:rPr>
            <a:t> be managed under BMFOU (as outcome to Amend 010 Stipulation)- no bond required for Hard Rock Mining Operating Permit.</a:t>
          </a:r>
          <a:br>
            <a:rPr lang="en-US" sz="1100" b="1" i="0" u="none" strike="noStrike">
              <a:solidFill>
                <a:schemeClr val="dk1"/>
              </a:solidFill>
              <a:effectLst/>
              <a:latin typeface="+mn-lt"/>
              <a:ea typeface="+mn-ea"/>
              <a:cs typeface="+mn-cs"/>
            </a:rPr>
          </a:br>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Assumptions from 2020 Bond:</a:t>
          </a:r>
          <a:r>
            <a:rPr lang="en-US" b="1"/>
            <a:t> </a:t>
          </a:r>
          <a:r>
            <a:rPr lang="en-US" sz="1100" b="0" i="0" u="none" strike="noStrike">
              <a:solidFill>
                <a:schemeClr val="dk1"/>
              </a:solidFill>
              <a:effectLst/>
              <a:latin typeface="+mn-lt"/>
              <a:ea typeface="+mn-ea"/>
              <a:cs typeface="+mn-cs"/>
            </a:rPr>
            <a:t>After closure, seepage to a flow through the WED will steadly decrease as the impoundment drains down and the pond level decreases.</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Under the full extent of operations/filling in Amendment 010, the pond level was expected to approach the 6380 foot target level for maintaining hydrodynamic containment.</a:t>
          </a:r>
          <a:r>
            <a:rPr lang="en-US"/>
            <a:t> </a:t>
          </a:r>
          <a:r>
            <a:rPr lang="en-US" sz="1100" b="0" i="0" u="none" strike="noStrike">
              <a:solidFill>
                <a:schemeClr val="dk1"/>
              </a:solidFill>
              <a:effectLst/>
              <a:latin typeface="+mn-lt"/>
              <a:ea typeface="+mn-ea"/>
              <a:cs typeface="+mn-cs"/>
            </a:rPr>
            <a:t>After approximatelyt 20 years of draindown, the south end of the WED would be grouted or otherwise plugged to preclude drainage to the Extraction Pond.</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WED is designed to transmit 4,500 gallons per minute.</a:t>
          </a:r>
          <a:r>
            <a:rPr lang="en-US"/>
            <a:t> </a:t>
          </a:r>
          <a:r>
            <a:rPr lang="en-US" sz="1100" b="0" i="0" u="none" strike="noStrike">
              <a:solidFill>
                <a:schemeClr val="dk1"/>
              </a:solidFill>
              <a:effectLst/>
              <a:latin typeface="+mn-lt"/>
              <a:ea typeface="+mn-ea"/>
              <a:cs typeface="+mn-cs"/>
            </a:rPr>
            <a:t>The cross sectional area is 300 Square Feet.</a:t>
          </a:r>
          <a:r>
            <a:rPr lang="en-US"/>
            <a:t> </a:t>
          </a:r>
          <a:r>
            <a:rPr lang="en-US" sz="1100" b="0" i="0" u="none" strike="noStrike">
              <a:solidFill>
                <a:schemeClr val="dk1"/>
              </a:solidFill>
              <a:effectLst/>
              <a:latin typeface="+mn-lt"/>
              <a:ea typeface="+mn-ea"/>
              <a:cs typeface="+mn-cs"/>
            </a:rPr>
            <a:t>The drain rock is approximately 7 feet thick and 43 feet wide.</a:t>
          </a:r>
          <a:r>
            <a:rPr lang="en-US"/>
            <a:t> </a:t>
          </a:r>
          <a:r>
            <a:rPr lang="en-US" sz="1100" b="0" i="0" u="none" strike="noStrike">
              <a:solidFill>
                <a:schemeClr val="dk1"/>
              </a:solidFill>
              <a:effectLst/>
              <a:latin typeface="+mn-lt"/>
              <a:ea typeface="+mn-ea"/>
              <a:cs typeface="+mn-cs"/>
            </a:rPr>
            <a:t>The depth to WED invert from embankment crest is 110 feet.</a:t>
          </a:r>
          <a:r>
            <a:rPr lang="en-US"/>
            <a:t> </a:t>
          </a:r>
          <a:r>
            <a:rPr lang="en-US" sz="1100" b="0" i="0" u="none" strike="noStrike">
              <a:solidFill>
                <a:schemeClr val="dk1"/>
              </a:solidFill>
              <a:effectLst/>
              <a:latin typeface="+mn-lt"/>
              <a:ea typeface="+mn-ea"/>
              <a:cs typeface="+mn-cs"/>
            </a:rPr>
            <a:t>According to the Reclamation Overview Design Document (page 10 of 15) the WED connection to the Extraction Pond will be decommissioned by grouting the section of the drain through the topographic boundary "Rocky Knob"</a:t>
          </a:r>
          <a:r>
            <a:rPr lang="en-US"/>
            <a:t> </a:t>
          </a:r>
          <a:r>
            <a:rPr lang="en-US" sz="1100" b="0" i="0" u="none" strike="noStrike">
              <a:solidFill>
                <a:schemeClr val="dk1"/>
              </a:solidFill>
              <a:effectLst/>
              <a:latin typeface="+mn-lt"/>
              <a:ea typeface="+mn-ea"/>
              <a:cs typeface="+mn-cs"/>
            </a:rPr>
            <a:t>Based on data provided in RS Means (Section A10 Foundations) Cast-in-Place Concrete Piles</a:t>
          </a:r>
          <a:r>
            <a:rPr lang="en-US"/>
            <a:t> </a:t>
          </a:r>
          <a:r>
            <a:rPr lang="en-US" sz="1100" b="0" i="0" u="none" strike="noStrike">
              <a:solidFill>
                <a:schemeClr val="dk1"/>
              </a:solidFill>
              <a:effectLst/>
              <a:latin typeface="+mn-lt"/>
              <a:ea typeface="+mn-ea"/>
              <a:cs typeface="+mn-cs"/>
            </a:rPr>
            <a:t>To stop the flow,  4 rows of Cast-in-Place piles 2 feet apart across the WED are necessary.</a:t>
          </a:r>
          <a:r>
            <a:rPr lang="en-US"/>
            <a:t> </a:t>
          </a:r>
          <a:r>
            <a:rPr lang="en-US" sz="1100" b="0" i="0" u="none" strike="noStrike">
              <a:solidFill>
                <a:schemeClr val="dk1"/>
              </a:solidFill>
              <a:effectLst/>
              <a:latin typeface="+mn-lt"/>
              <a:ea typeface="+mn-ea"/>
              <a:cs typeface="+mn-cs"/>
            </a:rPr>
            <a:t>A total of 80 piles are required.</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Based on cost data provided by RS Means, one row of Cast-in-Place piles will cost $125,000 each.</a:t>
          </a:r>
          <a:r>
            <a:rPr lang="en-US"/>
            <a:t> </a:t>
          </a:r>
          <a:r>
            <a:rPr lang="en-US" sz="1100" b="0" i="0" u="none" strike="noStrike">
              <a:solidFill>
                <a:schemeClr val="dk1"/>
              </a:solidFill>
              <a:effectLst/>
              <a:latin typeface="+mn-lt"/>
              <a:ea typeface="+mn-ea"/>
              <a:cs typeface="+mn-cs"/>
            </a:rPr>
            <a:t>Assuming 4 rows are required, the total cost is $500,000</a:t>
          </a:r>
          <a:r>
            <a:rPr lang="en-US"/>
            <a:t>.</a:t>
          </a:r>
          <a:endParaRPr lang="en-US" sz="1100"/>
        </a:p>
      </xdr:txBody>
    </xdr:sp>
    <xdr:clientData/>
  </xdr:twoCellAnchor>
  <xdr:twoCellAnchor>
    <xdr:from>
      <xdr:col>0</xdr:col>
      <xdr:colOff>190501</xdr:colOff>
      <xdr:row>486</xdr:row>
      <xdr:rowOff>150421</xdr:rowOff>
    </xdr:from>
    <xdr:to>
      <xdr:col>3</xdr:col>
      <xdr:colOff>678873</xdr:colOff>
      <xdr:row>497</xdr:row>
      <xdr:rowOff>41565</xdr:rowOff>
    </xdr:to>
    <xdr:sp macro="" textlink="">
      <xdr:nvSpPr>
        <xdr:cNvPr id="10" name="TextBox 9">
          <a:extLst>
            <a:ext uri="{FF2B5EF4-FFF2-40B4-BE49-F238E27FC236}">
              <a16:creationId xmlns:a16="http://schemas.microsoft.com/office/drawing/2014/main" id="{E5EAEB38-377C-418F-A3AC-D82457CAA6D2}"/>
            </a:ext>
          </a:extLst>
        </xdr:cNvPr>
        <xdr:cNvSpPr txBox="1"/>
      </xdr:nvSpPr>
      <xdr:spPr>
        <a:xfrm>
          <a:off x="190501" y="79093621"/>
          <a:ext cx="7346372" cy="187234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Maintain Electrical System for Extraction Basin:</a:t>
          </a: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This feature is to</a:t>
          </a:r>
          <a:r>
            <a:rPr lang="en-US" sz="1100" b="1" i="0" baseline="0">
              <a:solidFill>
                <a:schemeClr val="dk1"/>
              </a:solidFill>
              <a:effectLst/>
              <a:latin typeface="+mn-lt"/>
              <a:ea typeface="+mn-ea"/>
              <a:cs typeface="+mn-cs"/>
            </a:rPr>
            <a:t> be managed under BMFOU (as outcome to Amend 010 Stipulation)- no bond required for Hard Rock Mining Operating Permit.</a:t>
          </a:r>
          <a:br>
            <a:rPr lang="en-US" sz="1100" b="1" i="0">
              <a:solidFill>
                <a:schemeClr val="dk1"/>
              </a:solidFill>
              <a:effectLst/>
              <a:latin typeface="+mn-lt"/>
              <a:ea typeface="+mn-ea"/>
              <a:cs typeface="+mn-cs"/>
            </a:rPr>
          </a:b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Assumptions from 2020 Bond:</a:t>
          </a:r>
          <a:r>
            <a:rPr lang="en-US" sz="1100" b="1">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electrical systems need to be maintained on the west side to run the two subermersible pumps in the Extraction Basin. </a:t>
          </a:r>
          <a:r>
            <a:rPr lang="en-US"/>
            <a:t> </a:t>
          </a:r>
          <a:r>
            <a:rPr lang="en-US" sz="1100" b="0" i="0" u="none" strike="noStrike">
              <a:solidFill>
                <a:schemeClr val="dk1"/>
              </a:solidFill>
              <a:effectLst/>
              <a:latin typeface="+mn-lt"/>
              <a:ea typeface="+mn-ea"/>
              <a:cs typeface="+mn-cs"/>
            </a:rPr>
            <a:t>Assume a yearly cost of $10,000 to maintain the electrical systems on the west side.</a:t>
          </a:r>
          <a:r>
            <a:rPr lang="en-US"/>
            <a:t> </a:t>
          </a:r>
          <a:r>
            <a:rPr lang="en-US" sz="1100" b="0" i="0" u="none" strike="noStrike">
              <a:solidFill>
                <a:schemeClr val="dk1"/>
              </a:solidFill>
              <a:effectLst/>
              <a:latin typeface="+mn-lt"/>
              <a:ea typeface="+mn-ea"/>
              <a:cs typeface="+mn-cs"/>
            </a:rPr>
            <a:t>It is assumed that the pond elevation will not exceed 6380 feet in the next 5 years, see "Water Treatment" tab.</a:t>
          </a:r>
          <a:r>
            <a:rPr lang="en-US"/>
            <a:t> </a:t>
          </a:r>
          <a:r>
            <a:rPr lang="en-US" sz="1100" b="0" i="0" u="none" strike="noStrike">
              <a:solidFill>
                <a:schemeClr val="dk1"/>
              </a:solidFill>
              <a:effectLst/>
              <a:latin typeface="+mn-lt"/>
              <a:ea typeface="+mn-ea"/>
              <a:cs typeface="+mn-cs"/>
            </a:rPr>
            <a:t>Therefore, hydrodynamic containment through use of the WED and other contingency features (extraction basins) would not be required. </a:t>
          </a:r>
          <a:r>
            <a:rPr lang="en-US"/>
            <a:t> </a:t>
          </a:r>
          <a:r>
            <a:rPr lang="en-US" sz="1100" b="0" i="0" u="none" strike="noStrike">
              <a:solidFill>
                <a:schemeClr val="dk1"/>
              </a:solidFill>
              <a:effectLst/>
              <a:latin typeface="+mn-lt"/>
              <a:ea typeface="+mn-ea"/>
              <a:cs typeface="+mn-cs"/>
            </a:rPr>
            <a:t>The WED would be plugged in the case of an unforeseen closure in the next 5 year period.</a:t>
          </a:r>
          <a:r>
            <a:rPr lang="en-US"/>
            <a:t> </a:t>
          </a:r>
          <a:br>
            <a:rPr lang="en-US" sz="1100" b="1">
              <a:solidFill>
                <a:schemeClr val="dk1"/>
              </a:solidFill>
              <a:effectLst/>
              <a:latin typeface="+mn-lt"/>
              <a:ea typeface="+mn-ea"/>
              <a:cs typeface="+mn-cs"/>
            </a:rPr>
          </a:br>
          <a:endParaRPr lang="en-US" sz="1100"/>
        </a:p>
      </xdr:txBody>
    </xdr:sp>
    <xdr:clientData/>
  </xdr:twoCellAnchor>
  <xdr:twoCellAnchor>
    <xdr:from>
      <xdr:col>0</xdr:col>
      <xdr:colOff>209793</xdr:colOff>
      <xdr:row>497</xdr:row>
      <xdr:rowOff>171943</xdr:rowOff>
    </xdr:from>
    <xdr:to>
      <xdr:col>3</xdr:col>
      <xdr:colOff>734291</xdr:colOff>
      <xdr:row>512</xdr:row>
      <xdr:rowOff>27709</xdr:rowOff>
    </xdr:to>
    <xdr:sp macro="" textlink="">
      <xdr:nvSpPr>
        <xdr:cNvPr id="13" name="TextBox 12">
          <a:extLst>
            <a:ext uri="{FF2B5EF4-FFF2-40B4-BE49-F238E27FC236}">
              <a16:creationId xmlns:a16="http://schemas.microsoft.com/office/drawing/2014/main" id="{FBC4507E-D50C-4A5F-9182-39A640EDD62C}"/>
            </a:ext>
          </a:extLst>
        </xdr:cNvPr>
        <xdr:cNvSpPr txBox="1"/>
      </xdr:nvSpPr>
      <xdr:spPr>
        <a:xfrm>
          <a:off x="209793" y="81096343"/>
          <a:ext cx="7382498" cy="25574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Install Submersible Pumps in Extraction Basins:</a:t>
          </a: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This feature is to</a:t>
          </a:r>
          <a:r>
            <a:rPr lang="en-US" sz="1100" b="1" i="0" baseline="0">
              <a:solidFill>
                <a:schemeClr val="dk1"/>
              </a:solidFill>
              <a:effectLst/>
              <a:latin typeface="+mn-lt"/>
              <a:ea typeface="+mn-ea"/>
              <a:cs typeface="+mn-cs"/>
            </a:rPr>
            <a:t> be managed under BMFOU (as outcome to Amend 010 Stipulation)- no bond required for Hard Rock Mining Operating Permit.</a:t>
          </a:r>
          <a:br>
            <a:rPr lang="en-US" sz="1100" b="1" i="0">
              <a:solidFill>
                <a:schemeClr val="dk1"/>
              </a:solidFill>
              <a:effectLst/>
              <a:latin typeface="+mn-lt"/>
              <a:ea typeface="+mn-ea"/>
              <a:cs typeface="+mn-cs"/>
            </a:rPr>
          </a:b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Assumptions from 2020 Bond:</a:t>
          </a:r>
          <a:r>
            <a:rPr lang="en-US" sz="1100" b="1">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The WED was designed to operate with continious pumping at the Extraction Pond at a design flow of 4,500 gpm.</a:t>
          </a:r>
          <a:r>
            <a:rPr lang="en-US"/>
            <a:t> </a:t>
          </a:r>
          <a:r>
            <a:rPr lang="en-US" sz="1100" b="0" i="0" u="none" strike="noStrike">
              <a:solidFill>
                <a:schemeClr val="dk1"/>
              </a:solidFill>
              <a:effectLst/>
              <a:latin typeface="+mn-lt"/>
              <a:ea typeface="+mn-ea"/>
              <a:cs typeface="+mn-cs"/>
            </a:rPr>
            <a:t>The Extraction Basin was designed to have an operations ready alternative pumping option.</a:t>
          </a:r>
          <a:r>
            <a:rPr lang="en-US"/>
            <a:t> </a:t>
          </a:r>
          <a:r>
            <a:rPr lang="en-US" sz="1100" b="0" i="0" u="none" strike="noStrike">
              <a:solidFill>
                <a:schemeClr val="dk1"/>
              </a:solidFill>
              <a:effectLst/>
              <a:latin typeface="+mn-lt"/>
              <a:ea typeface="+mn-ea"/>
              <a:cs typeface="+mn-cs"/>
            </a:rPr>
            <a:t>The Extraction Basin pump intake assembly is operational but the pumps have not been purchased</a:t>
          </a:r>
          <a:r>
            <a:rPr lang="en-US"/>
            <a:t> .</a:t>
          </a:r>
          <a:r>
            <a:rPr lang="en-US" sz="1100" b="0" i="0" u="none" strike="noStrike">
              <a:solidFill>
                <a:schemeClr val="dk1"/>
              </a:solidFill>
              <a:effectLst/>
              <a:latin typeface="+mn-lt"/>
              <a:ea typeface="+mn-ea"/>
              <a:cs typeface="+mn-cs"/>
            </a:rPr>
            <a:t>The Extraction Basin discharge pipeline assemble has NOT been installed.</a:t>
          </a:r>
          <a:r>
            <a:rPr lang="en-US"/>
            <a:t> </a:t>
          </a:r>
          <a:r>
            <a:rPr lang="en-US" sz="1100" b="0" i="0" u="none" strike="noStrike">
              <a:solidFill>
                <a:schemeClr val="dk1"/>
              </a:solidFill>
              <a:effectLst/>
              <a:latin typeface="+mn-lt"/>
              <a:ea typeface="+mn-ea"/>
              <a:cs typeface="+mn-cs"/>
            </a:rPr>
            <a:t>The Extraction Basin pumping system, two 2,250 gpm submersible pumps, have NOT been purchased.</a:t>
          </a:r>
          <a:r>
            <a:rPr lang="en-US"/>
            <a:t> </a:t>
          </a:r>
          <a:r>
            <a:rPr lang="en-US" sz="1100" b="0" i="0" u="none" strike="noStrike">
              <a:solidFill>
                <a:schemeClr val="dk1"/>
              </a:solidFill>
              <a:effectLst/>
              <a:latin typeface="+mn-lt"/>
              <a:ea typeface="+mn-ea"/>
              <a:cs typeface="+mn-cs"/>
            </a:rPr>
            <a:t>Based on cost data obtained from RS Means (22 14 2100) one submersible pump cost  approximately $16,000.</a:t>
          </a:r>
          <a:r>
            <a:rPr lang="en-US"/>
            <a:t> </a:t>
          </a:r>
          <a:r>
            <a:rPr lang="en-US" sz="1100" b="0" i="0" u="none" strike="noStrike">
              <a:solidFill>
                <a:schemeClr val="dk1"/>
              </a:solidFill>
              <a:effectLst/>
              <a:latin typeface="+mn-lt"/>
              <a:ea typeface="+mn-ea"/>
              <a:cs typeface="+mn-cs"/>
            </a:rPr>
            <a:t>The discharge pipeline with a pressure transducer, air release valve, and flow meter is estimated to cost another $10,000 each.</a:t>
          </a:r>
          <a:r>
            <a:rPr lang="en-US"/>
            <a:t> </a:t>
          </a:r>
          <a:r>
            <a:rPr lang="en-US" sz="1100" b="0" i="0" u="none" strike="noStrike">
              <a:solidFill>
                <a:schemeClr val="dk1"/>
              </a:solidFill>
              <a:effectLst/>
              <a:latin typeface="+mn-lt"/>
              <a:ea typeface="+mn-ea"/>
              <a:cs typeface="+mn-cs"/>
            </a:rPr>
            <a:t>Electrical Costs estimated at $10,000 per year.</a:t>
          </a:r>
          <a:r>
            <a:rPr lang="en-US"/>
            <a:t> </a:t>
          </a:r>
          <a:r>
            <a:rPr lang="en-US" sz="1100" b="0" i="0" u="none" strike="noStrike">
              <a:solidFill>
                <a:schemeClr val="dk1"/>
              </a:solidFill>
              <a:effectLst/>
              <a:latin typeface="+mn-lt"/>
              <a:ea typeface="+mn-ea"/>
              <a:cs typeface="+mn-cs"/>
            </a:rPr>
            <a:t>The estimated total cost is #53,000. It is assumed that the pond elevation will not exceed 6380 feet in the next 5 years, see "Water Treatment" tab.</a:t>
          </a:r>
          <a:r>
            <a:rPr lang="en-US"/>
            <a:t> </a:t>
          </a:r>
          <a:r>
            <a:rPr lang="en-US" sz="1100" b="0" i="0" u="none" strike="noStrike">
              <a:solidFill>
                <a:schemeClr val="dk1"/>
              </a:solidFill>
              <a:effectLst/>
              <a:latin typeface="+mn-lt"/>
              <a:ea typeface="+mn-ea"/>
              <a:cs typeface="+mn-cs"/>
            </a:rPr>
            <a:t>Therefore, hydrodynamic containment through use of the WED and other contingency features (extraction basins) would not be required. </a:t>
          </a:r>
          <a:r>
            <a:rPr lang="en-US"/>
            <a:t> </a:t>
          </a:r>
          <a:r>
            <a:rPr lang="en-US" sz="1100" b="0" i="0" u="none" strike="noStrike">
              <a:solidFill>
                <a:schemeClr val="dk1"/>
              </a:solidFill>
              <a:effectLst/>
              <a:latin typeface="+mn-lt"/>
              <a:ea typeface="+mn-ea"/>
              <a:cs typeface="+mn-cs"/>
            </a:rPr>
            <a:t>The WED would be plugged in the case of an unforeseen closure in the next 5 year period.</a:t>
          </a:r>
          <a:r>
            <a:rPr lang="en-US"/>
            <a:t> </a:t>
          </a:r>
          <a:br>
            <a:rPr lang="en-US" sz="1100" b="1">
              <a:solidFill>
                <a:schemeClr val="dk1"/>
              </a:solidFill>
              <a:effectLst/>
              <a:latin typeface="+mn-lt"/>
              <a:ea typeface="+mn-ea"/>
              <a:cs typeface="+mn-cs"/>
            </a:rPr>
          </a:br>
          <a:endParaRPr lang="en-US" sz="1100"/>
        </a:p>
      </xdr:txBody>
    </xdr:sp>
    <xdr:clientData/>
  </xdr:twoCellAnchor>
  <xdr:twoCellAnchor>
    <xdr:from>
      <xdr:col>0</xdr:col>
      <xdr:colOff>245422</xdr:colOff>
      <xdr:row>512</xdr:row>
      <xdr:rowOff>132112</xdr:rowOff>
    </xdr:from>
    <xdr:to>
      <xdr:col>3</xdr:col>
      <xdr:colOff>706582</xdr:colOff>
      <xdr:row>519</xdr:row>
      <xdr:rowOff>91291</xdr:rowOff>
    </xdr:to>
    <xdr:sp macro="" textlink="">
      <xdr:nvSpPr>
        <xdr:cNvPr id="25" name="TextBox 24">
          <a:extLst>
            <a:ext uri="{FF2B5EF4-FFF2-40B4-BE49-F238E27FC236}">
              <a16:creationId xmlns:a16="http://schemas.microsoft.com/office/drawing/2014/main" id="{F5824B80-FF15-4657-B7D7-E7B15C5D2636}"/>
            </a:ext>
          </a:extLst>
        </xdr:cNvPr>
        <xdr:cNvSpPr txBox="1"/>
      </xdr:nvSpPr>
      <xdr:spPr>
        <a:xfrm>
          <a:off x="245422" y="83758148"/>
          <a:ext cx="7319160" cy="12199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a:solidFill>
                <a:schemeClr val="dk1"/>
              </a:solidFill>
              <a:effectLst/>
              <a:latin typeface="+mn-lt"/>
              <a:ea typeface="+mn-ea"/>
              <a:cs typeface="+mn-cs"/>
            </a:rPr>
            <a:t>Maintain and Replace Piezometers and Remote Comms System:</a:t>
          </a:r>
          <a:br>
            <a:rPr lang="en-US" sz="1100" b="1" i="0">
              <a:solidFill>
                <a:schemeClr val="dk1"/>
              </a:solidFill>
              <a:effectLst/>
              <a:latin typeface="+mn-lt"/>
              <a:ea typeface="+mn-ea"/>
              <a:cs typeface="+mn-cs"/>
            </a:rPr>
          </a:br>
          <a:br>
            <a:rPr lang="en-US" sz="1100" b="1" i="0">
              <a:solidFill>
                <a:schemeClr val="dk1"/>
              </a:solidFill>
              <a:effectLst/>
              <a:latin typeface="+mn-lt"/>
              <a:ea typeface="+mn-ea"/>
              <a:cs typeface="+mn-cs"/>
            </a:rPr>
          </a:br>
          <a:r>
            <a:rPr lang="en-US" sz="1100" b="1" i="0">
              <a:solidFill>
                <a:schemeClr val="dk1"/>
              </a:solidFill>
              <a:effectLst/>
              <a:latin typeface="+mn-lt"/>
              <a:ea typeface="+mn-ea"/>
              <a:cs typeface="+mn-cs"/>
            </a:rPr>
            <a:t>Assumptions:</a:t>
          </a:r>
          <a:r>
            <a:rPr lang="en-US" sz="1100" b="1">
              <a:solidFill>
                <a:schemeClr val="dk1"/>
              </a:solidFill>
              <a:effectLst/>
              <a:latin typeface="+mn-lt"/>
              <a:ea typeface="+mn-ea"/>
              <a:cs typeface="+mn-cs"/>
            </a:rPr>
            <a:t> </a:t>
          </a:r>
          <a:r>
            <a:rPr lang="en-US" sz="1100" b="0" i="0" u="none" strike="noStrike">
              <a:solidFill>
                <a:schemeClr val="dk1"/>
              </a:solidFill>
              <a:effectLst/>
              <a:latin typeface="+mn-lt"/>
              <a:ea typeface="+mn-ea"/>
              <a:cs typeface="+mn-cs"/>
            </a:rPr>
            <a:t>Vibrating wire piezometer data is transmitted from the monitoring sites to an on-line system via cellular/radio connection.</a:t>
          </a:r>
          <a:r>
            <a:rPr lang="en-US"/>
            <a:t> </a:t>
          </a:r>
          <a:r>
            <a:rPr lang="en-US" sz="1100" b="0" i="0" u="none" strike="noStrike">
              <a:solidFill>
                <a:schemeClr val="dk1"/>
              </a:solidFill>
              <a:effectLst/>
              <a:latin typeface="+mn-lt"/>
              <a:ea typeface="+mn-ea"/>
              <a:cs typeface="+mn-cs"/>
            </a:rPr>
            <a:t>Data is viewable in live-time on Sensemetrics online system.</a:t>
          </a:r>
          <a:r>
            <a:rPr lang="en-US"/>
            <a:t> </a:t>
          </a:r>
          <a:r>
            <a:rPr lang="en-US" sz="1100" b="0" i="0" u="none" strike="noStrike">
              <a:solidFill>
                <a:schemeClr val="dk1"/>
              </a:solidFill>
              <a:effectLst/>
              <a:latin typeface="+mn-lt"/>
              <a:ea typeface="+mn-ea"/>
              <a:cs typeface="+mn-cs"/>
            </a:rPr>
            <a:t>Annual repair, maintainace, replacement, and upgrade of the system would be necessary.</a:t>
          </a:r>
          <a:r>
            <a:rPr lang="en-US" b="0"/>
            <a:t> </a:t>
          </a:r>
          <a:r>
            <a:rPr lang="en-US" sz="1100" b="1" i="0" u="none" strike="noStrike">
              <a:solidFill>
                <a:schemeClr val="dk1"/>
              </a:solidFill>
              <a:effectLst/>
              <a:latin typeface="+mn-lt"/>
              <a:ea typeface="+mn-ea"/>
              <a:cs typeface="+mn-cs"/>
            </a:rPr>
            <a:t>The nature and extent of the work to repair, replace, or upgrade is unknown, so an annual cost of $25,000 is assumed.</a:t>
          </a:r>
          <a:br>
            <a:rPr lang="en-US" sz="1100" b="1">
              <a:solidFill>
                <a:schemeClr val="dk1"/>
              </a:solidFill>
              <a:effectLst/>
              <a:latin typeface="+mn-lt"/>
              <a:ea typeface="+mn-ea"/>
              <a:cs typeface="+mn-cs"/>
            </a:rPr>
          </a:br>
          <a:endParaRPr lang="en-US" sz="1100"/>
        </a:p>
      </xdr:txBody>
    </xdr:sp>
    <xdr:clientData/>
  </xdr:twoCellAnchor>
  <xdr:twoCellAnchor>
    <xdr:from>
      <xdr:col>0</xdr:col>
      <xdr:colOff>129988</xdr:colOff>
      <xdr:row>562</xdr:row>
      <xdr:rowOff>107258</xdr:rowOff>
    </xdr:from>
    <xdr:to>
      <xdr:col>5</xdr:col>
      <xdr:colOff>81497</xdr:colOff>
      <xdr:row>577</xdr:row>
      <xdr:rowOff>118142</xdr:rowOff>
    </xdr:to>
    <xdr:sp macro="" textlink="">
      <xdr:nvSpPr>
        <xdr:cNvPr id="28" name="TextBox 27">
          <a:extLst>
            <a:ext uri="{FF2B5EF4-FFF2-40B4-BE49-F238E27FC236}">
              <a16:creationId xmlns:a16="http://schemas.microsoft.com/office/drawing/2014/main" id="{8C4DADB0-1B91-4FBA-9044-71233E30AC7F}"/>
            </a:ext>
          </a:extLst>
        </xdr:cNvPr>
        <xdr:cNvSpPr txBox="1"/>
      </xdr:nvSpPr>
      <xdr:spPr>
        <a:xfrm>
          <a:off x="129988" y="110765346"/>
          <a:ext cx="8837774" cy="28683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0" baseline="0">
              <a:solidFill>
                <a:schemeClr val="dk1"/>
              </a:solidFill>
              <a:effectLst/>
              <a:latin typeface="+mn-lt"/>
              <a:ea typeface="+mn-ea"/>
              <a:cs typeface="+mn-cs"/>
            </a:rPr>
            <a:t>Amendment 010 (2018):</a:t>
          </a:r>
          <a:br>
            <a:rPr lang="en-US" sz="1100" b="0" i="0" baseline="0">
              <a:solidFill>
                <a:schemeClr val="dk1"/>
              </a:solidFill>
              <a:effectLst/>
              <a:latin typeface="+mn-lt"/>
              <a:ea typeface="+mn-ea"/>
              <a:cs typeface="+mn-cs"/>
            </a:rPr>
          </a:br>
          <a:r>
            <a:rPr lang="en-US" sz="1100" b="0" i="0" baseline="0">
              <a:solidFill>
                <a:schemeClr val="dk1"/>
              </a:solidFill>
              <a:effectLst/>
              <a:latin typeface="+mn-lt"/>
              <a:ea typeface="+mn-ea"/>
              <a:cs typeface="+mn-cs"/>
            </a:rPr>
            <a:t>"</a:t>
          </a:r>
          <a:r>
            <a:rPr lang="en-US" sz="1100" b="1" i="0" baseline="0">
              <a:solidFill>
                <a:schemeClr val="dk1"/>
              </a:solidFill>
              <a:effectLst/>
              <a:latin typeface="+mn-lt"/>
              <a:ea typeface="+mn-ea"/>
              <a:cs typeface="+mn-cs"/>
            </a:rPr>
            <a:t>For the Worst Case, the pool would gradually become slightly acidic after closure </a:t>
          </a:r>
          <a:r>
            <a:rPr lang="en-US" sz="1100" b="0" i="0" baseline="0">
              <a:solidFill>
                <a:schemeClr val="dk1"/>
              </a:solidFill>
              <a:effectLst/>
              <a:latin typeface="+mn-lt"/>
              <a:ea typeface="+mn-ea"/>
              <a:cs typeface="+mn-cs"/>
            </a:rPr>
            <a:t>(net alkalinity of -200 mg/L and pH of 5.5 to 7.0), with iron of up to 36 mg/L and aluminum up to 16 mg/L. Sulfate would be around 1100 mg/L (TDS of 1800 mg/L) at closure and would gradually decline to less than 500 mg/L (TDS 1000 mg/L) around 30 years post-closure. </a:t>
          </a:r>
          <a:endParaRPr lang="en-US">
            <a:effectLst/>
          </a:endParaRPr>
        </a:p>
        <a:p>
          <a:r>
            <a:rPr lang="en-US" sz="1100" b="1" i="0" baseline="0">
              <a:solidFill>
                <a:schemeClr val="dk1"/>
              </a:solidFill>
              <a:effectLst/>
              <a:latin typeface="+mn-lt"/>
              <a:ea typeface="+mn-ea"/>
              <a:cs typeface="+mn-cs"/>
            </a:rPr>
            <a:t>If acidic conditions were to develop after closure, lime would be added to maintain alkaline conditions and low metals. </a:t>
          </a:r>
          <a:r>
            <a:rPr lang="en-US" sz="1100" b="0" i="0" baseline="0">
              <a:solidFill>
                <a:schemeClr val="dk1"/>
              </a:solidFill>
              <a:effectLst/>
              <a:latin typeface="+mn-lt"/>
              <a:ea typeface="+mn-ea"/>
              <a:cs typeface="+mn-cs"/>
            </a:rPr>
            <a:t>5000 tons of lime would be needed over the 30-year post-closure period, or about 150 tons per year. "</a:t>
          </a:r>
          <a:br>
            <a:rPr lang="en-US" sz="1100" b="0" i="0" baseline="0">
              <a:solidFill>
                <a:schemeClr val="dk1"/>
              </a:solidFill>
              <a:effectLst/>
              <a:latin typeface="+mn-lt"/>
              <a:ea typeface="+mn-ea"/>
              <a:cs typeface="+mn-cs"/>
            </a:rPr>
          </a:br>
          <a:br>
            <a:rPr lang="en-US" sz="1100" b="1"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2023 Reclamation Plan: </a:t>
          </a:r>
          <a:br>
            <a:rPr lang="en-US" sz="1100" b="1"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10.2.5 Post-Closure Beach and Pond Management and Monitoring </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Post-closure pond management and monitoring will include: </a:t>
          </a:r>
        </a:p>
        <a:p>
          <a:r>
            <a:rPr lang="en-US" sz="1100" b="0" i="0" u="none" strike="noStrike" baseline="0">
              <a:solidFill>
                <a:schemeClr val="dk1"/>
              </a:solidFill>
              <a:latin typeface="+mn-lt"/>
              <a:ea typeface="+mn-ea"/>
              <a:cs typeface="+mn-cs"/>
            </a:rPr>
            <a:t>• for the </a:t>
          </a:r>
          <a:r>
            <a:rPr lang="en-US" sz="1100" b="1" i="0" u="none" strike="noStrike" baseline="0">
              <a:solidFill>
                <a:schemeClr val="dk1"/>
              </a:solidFill>
              <a:latin typeface="+mn-lt"/>
              <a:ea typeface="+mn-ea"/>
              <a:cs typeface="+mn-cs"/>
            </a:rPr>
            <a:t>Probable Case model of post-closure pond water quality, water treatment is not anticipated since the pool would remain alkaline and metals would remain low </a:t>
          </a:r>
          <a:r>
            <a:rPr lang="en-US" sz="1100" b="0" i="0" u="none" strike="noStrike" baseline="0">
              <a:solidFill>
                <a:schemeClr val="dk1"/>
              </a:solidFill>
              <a:latin typeface="+mn-lt"/>
              <a:ea typeface="+mn-ea"/>
              <a:cs typeface="+mn-cs"/>
            </a:rPr>
            <a:t>(see Appendix C “Phase Two Mass Load Model of the Yankee Doodle Tailings Pond” in Amendment 10 (MR 2018)).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Assumptions:</a:t>
          </a:r>
          <a:br>
            <a:rPr lang="en-US" sz="1100" b="0" i="0" u="none" strike="noStrike" baseline="0">
              <a:solidFill>
                <a:schemeClr val="dk1"/>
              </a:solidFill>
              <a:latin typeface="+mn-lt"/>
              <a:ea typeface="+mn-ea"/>
              <a:cs typeface="+mn-cs"/>
            </a:rPr>
          </a:br>
          <a:r>
            <a:rPr lang="en-US" sz="1100" b="0" i="0" baseline="0">
              <a:solidFill>
                <a:schemeClr val="dk1"/>
              </a:solidFill>
              <a:effectLst/>
              <a:latin typeface="+mn-lt"/>
              <a:ea typeface="+mn-ea"/>
              <a:cs typeface="+mn-cs"/>
            </a:rPr>
            <a:t>Additional details or designs are not available about the infrastructure or methods to apply lime to the residual tailings pond, or ensure sufficient mixing to optimize pH adjustment of the system. Assumed costs provided below:</a:t>
          </a:r>
        </a:p>
        <a:p>
          <a:endParaRPr lang="en-US" sz="1100" b="0" i="0" baseline="0">
            <a:solidFill>
              <a:schemeClr val="dk1"/>
            </a:solidFill>
            <a:effectLst/>
            <a:latin typeface="+mn-lt"/>
            <a:ea typeface="+mn-ea"/>
            <a:cs typeface="+mn-cs"/>
          </a:endParaRPr>
        </a:p>
        <a:p>
          <a:endParaRPr lang="en-US" sz="1100"/>
        </a:p>
      </xdr:txBody>
    </xdr:sp>
    <xdr:clientData/>
  </xdr:twoCellAnchor>
  <xdr:twoCellAnchor editAs="oneCell">
    <xdr:from>
      <xdr:col>4</xdr:col>
      <xdr:colOff>141515</xdr:colOff>
      <xdr:row>495</xdr:row>
      <xdr:rowOff>83432</xdr:rowOff>
    </xdr:from>
    <xdr:to>
      <xdr:col>7</xdr:col>
      <xdr:colOff>1660963</xdr:colOff>
      <xdr:row>520</xdr:row>
      <xdr:rowOff>59256</xdr:rowOff>
    </xdr:to>
    <xdr:pic>
      <xdr:nvPicPr>
        <xdr:cNvPr id="31" name="Picture 30">
          <a:extLst>
            <a:ext uri="{FF2B5EF4-FFF2-40B4-BE49-F238E27FC236}">
              <a16:creationId xmlns:a16="http://schemas.microsoft.com/office/drawing/2014/main" id="{A29B71E8-5755-49BE-9FF2-6345A629CA37}"/>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8175172" y="89074146"/>
          <a:ext cx="5172694" cy="4611776"/>
        </a:xfrm>
        <a:prstGeom prst="rect">
          <a:avLst/>
        </a:prstGeom>
        <a:ln>
          <a:solidFill>
            <a:schemeClr val="tx1"/>
          </a:solidFill>
        </a:ln>
      </xdr:spPr>
    </xdr:pic>
    <xdr:clientData/>
  </xdr:twoCellAnchor>
  <xdr:twoCellAnchor>
    <xdr:from>
      <xdr:col>0</xdr:col>
      <xdr:colOff>110836</xdr:colOff>
      <xdr:row>301</xdr:row>
      <xdr:rowOff>110836</xdr:rowOff>
    </xdr:from>
    <xdr:to>
      <xdr:col>5</xdr:col>
      <xdr:colOff>221673</xdr:colOff>
      <xdr:row>312</xdr:row>
      <xdr:rowOff>0</xdr:rowOff>
    </xdr:to>
    <xdr:sp macro="" textlink="">
      <xdr:nvSpPr>
        <xdr:cNvPr id="33" name="TextBox 32">
          <a:extLst>
            <a:ext uri="{FF2B5EF4-FFF2-40B4-BE49-F238E27FC236}">
              <a16:creationId xmlns:a16="http://schemas.microsoft.com/office/drawing/2014/main" id="{704FA20A-FC96-70FB-3BCA-9D8464E39ADF}"/>
            </a:ext>
          </a:extLst>
        </xdr:cNvPr>
        <xdr:cNvSpPr txBox="1"/>
      </xdr:nvSpPr>
      <xdr:spPr>
        <a:xfrm>
          <a:off x="110836" y="11055927"/>
          <a:ext cx="9254837" cy="18703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Assumptions</a:t>
          </a:r>
          <a:r>
            <a:rPr lang="en-US" sz="1100" b="0" i="0" u="none" strike="noStrike">
              <a:solidFill>
                <a:schemeClr val="dk1"/>
              </a:solidFill>
              <a:effectLst/>
              <a:latin typeface="+mn-lt"/>
              <a:ea typeface="+mn-ea"/>
              <a:cs typeface="+mn-cs"/>
            </a:rPr>
            <a: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Based on DEQ's experience with previous operation bankruptcy, approximately a one-year period of interim maintenance is needed to obtain the bond.</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These tasks</a:t>
          </a:r>
          <a:r>
            <a:rPr lang="en-US" sz="1100" b="0" i="0" u="none" strike="noStrike" baseline="0">
              <a:solidFill>
                <a:schemeClr val="dk1"/>
              </a:solidFill>
              <a:effectLst/>
              <a:latin typeface="+mn-lt"/>
              <a:ea typeface="+mn-ea"/>
              <a:cs typeface="+mn-cs"/>
            </a:rPr>
            <a:t> and costs </a:t>
          </a:r>
          <a:r>
            <a:rPr lang="en-US" sz="1100" b="0" i="0" u="none" strike="noStrike">
              <a:solidFill>
                <a:schemeClr val="dk1"/>
              </a:solidFill>
              <a:effectLst/>
              <a:latin typeface="+mn-lt"/>
              <a:ea typeface="+mn-ea"/>
              <a:cs typeface="+mn-cs"/>
            </a:rPr>
            <a:t>represent the essential operations while the agency gets the bond.</a:t>
          </a:r>
          <a:r>
            <a:rPr lang="en-US"/>
            <a:t> </a:t>
          </a:r>
          <a:r>
            <a:rPr lang="en-US" sz="1100" b="0" i="0" u="none" strike="noStrike">
              <a:solidFill>
                <a:schemeClr val="dk1"/>
              </a:solidFill>
              <a:effectLst/>
              <a:latin typeface="+mn-lt"/>
              <a:ea typeface="+mn-ea"/>
              <a:cs typeface="+mn-cs"/>
            </a:rPr>
            <a:t>A third party contractor would be hired to monitor the site during the interim period.</a:t>
          </a:r>
          <a:br>
            <a:rPr lang="en-US" sz="1100" b="0" i="0" u="none" strike="noStrike">
              <a:solidFill>
                <a:schemeClr val="dk1"/>
              </a:solidFill>
              <a:effectLst/>
              <a:latin typeface="+mn-lt"/>
              <a:ea typeface="+mn-ea"/>
              <a:cs typeface="+mn-cs"/>
            </a:rPr>
          </a:b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The interim site maintenance activities that were identified mainly deal with controlling dust off the impoundment, </a:t>
          </a:r>
          <a:r>
            <a:rPr lang="en-US"/>
            <a:t> </a:t>
          </a:r>
          <a:r>
            <a:rPr lang="en-US" sz="1100" b="0" i="0" u="none" strike="noStrike">
              <a:solidFill>
                <a:schemeClr val="dk1"/>
              </a:solidFill>
              <a:effectLst/>
              <a:latin typeface="+mn-lt"/>
              <a:ea typeface="+mn-ea"/>
              <a:cs typeface="+mn-cs"/>
            </a:rPr>
            <a:t>erosion control, and weed spraying.</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Dust control for closure year 1 is included below, not duplicated here.</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Water monitoring is included below,</a:t>
          </a:r>
          <a:r>
            <a:rPr lang="en-US" sz="1100" b="0" i="0" u="none" strike="noStrike" baseline="0">
              <a:solidFill>
                <a:schemeClr val="dk1"/>
              </a:solidFill>
              <a:effectLst/>
              <a:latin typeface="+mn-lt"/>
              <a:ea typeface="+mn-ea"/>
              <a:cs typeface="+mn-cs"/>
            </a:rPr>
            <a:t> n</a:t>
          </a:r>
          <a:r>
            <a:rPr lang="en-US" sz="1100" b="0" i="0" u="none" strike="noStrike">
              <a:solidFill>
                <a:schemeClr val="dk1"/>
              </a:solidFill>
              <a:effectLst/>
              <a:latin typeface="+mn-lt"/>
              <a:ea typeface="+mn-ea"/>
              <a:cs typeface="+mn-cs"/>
            </a:rPr>
            <a:t>ot duplicated here.</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Fluids from the Concentrator and Precipitation Plant are exempt (pre-1971), so no reclamation cost can be bonded.</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Assume the following personnel to manage the site,</a:t>
          </a:r>
          <a:r>
            <a:rPr lang="en-US" sz="1100" b="0" i="0" u="none" strike="noStrike" baseline="0">
              <a:solidFill>
                <a:schemeClr val="dk1"/>
              </a:solidFill>
              <a:effectLst/>
              <a:latin typeface="+mn-lt"/>
              <a:ea typeface="+mn-ea"/>
              <a:cs typeface="+mn-cs"/>
            </a:rPr>
            <a:t> oversee contractors, </a:t>
          </a:r>
          <a:r>
            <a:rPr lang="en-US" sz="1100" b="0" i="0" u="none" strike="noStrike">
              <a:solidFill>
                <a:schemeClr val="dk1"/>
              </a:solidFill>
              <a:effectLst/>
              <a:latin typeface="+mn-lt"/>
              <a:ea typeface="+mn-ea"/>
              <a:cs typeface="+mn-cs"/>
            </a:rPr>
            <a:t>and implement any initial components of the reclamation plan:</a:t>
          </a:r>
          <a:r>
            <a:rPr lang="en-US"/>
            <a:t> </a:t>
          </a:r>
          <a:endParaRPr lang="en-US" sz="1100"/>
        </a:p>
      </xdr:txBody>
    </xdr:sp>
    <xdr:clientData/>
  </xdr:twoCellAnchor>
  <xdr:twoCellAnchor>
    <xdr:from>
      <xdr:col>0</xdr:col>
      <xdr:colOff>207819</xdr:colOff>
      <xdr:row>345</xdr:row>
      <xdr:rowOff>124690</xdr:rowOff>
    </xdr:from>
    <xdr:to>
      <xdr:col>4</xdr:col>
      <xdr:colOff>96982</xdr:colOff>
      <xdr:row>355</xdr:row>
      <xdr:rowOff>27708</xdr:rowOff>
    </xdr:to>
    <xdr:sp macro="" textlink="">
      <xdr:nvSpPr>
        <xdr:cNvPr id="36" name="TextBox 35">
          <a:extLst>
            <a:ext uri="{FF2B5EF4-FFF2-40B4-BE49-F238E27FC236}">
              <a16:creationId xmlns:a16="http://schemas.microsoft.com/office/drawing/2014/main" id="{FE80CE9A-60BF-43E6-B29F-2CF49AE2DE72}"/>
            </a:ext>
          </a:extLst>
        </xdr:cNvPr>
        <xdr:cNvSpPr txBox="1"/>
      </xdr:nvSpPr>
      <xdr:spPr>
        <a:xfrm>
          <a:off x="207819" y="20241490"/>
          <a:ext cx="7910945" cy="17595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Assumptions</a:t>
          </a:r>
          <a:r>
            <a:rPr lang="en-US" sz="1100" b="0" i="0" u="none" strike="noStrike">
              <a:solidFill>
                <a:schemeClr val="dk1"/>
              </a:solidFill>
              <a:effectLst/>
              <a:latin typeface="+mn-lt"/>
              <a:ea typeface="+mn-ea"/>
              <a:cs typeface="+mn-cs"/>
            </a:rPr>
            <a:t>:</a:t>
          </a:r>
          <a:br>
            <a:rPr lang="en-US" sz="1100" b="0" i="0" u="none" strike="noStrike">
              <a:solidFill>
                <a:schemeClr val="dk1"/>
              </a:solidFill>
              <a:effectLst/>
              <a:latin typeface="+mn-lt"/>
              <a:ea typeface="+mn-ea"/>
              <a:cs typeface="+mn-cs"/>
            </a:rPr>
          </a:br>
          <a:r>
            <a:rPr lang="en-US" sz="1100" b="0" i="0" u="none" strike="noStrike">
              <a:solidFill>
                <a:schemeClr val="dk1"/>
              </a:solidFill>
              <a:effectLst/>
              <a:latin typeface="+mn-lt"/>
              <a:ea typeface="+mn-ea"/>
              <a:cs typeface="+mn-cs"/>
            </a:rPr>
            <a:t>It is assumed the during the closure period reclamation would start in earnest beginning after the first year following closure (Year 1) and take approximately 4 years to complete (Years 2 through 5).</a:t>
          </a:r>
          <a:r>
            <a:rPr lang="en-US"/>
            <a:t> </a:t>
          </a:r>
          <a:r>
            <a:rPr lang="en-US" sz="1100" b="0" i="0" u="none" strike="noStrike">
              <a:solidFill>
                <a:schemeClr val="dk1"/>
              </a:solidFill>
              <a:effectLst/>
              <a:latin typeface="+mn-lt"/>
              <a:ea typeface="+mn-ea"/>
              <a:cs typeface="+mn-cs"/>
            </a:rPr>
            <a:t>A third party contractor would be hired to implement the approved reclamation plan.</a:t>
          </a:r>
          <a:r>
            <a:rPr lang="en-US"/>
            <a:t> Other ongoing maintenance activities would</a:t>
          </a:r>
          <a:r>
            <a:rPr lang="en-US" baseline="0"/>
            <a:t> continue (dust control, erosion control, weed spraying, etc.)</a:t>
          </a:r>
          <a:br>
            <a:rPr lang="en-US" sz="1100" b="0" i="0" u="none" strike="noStrike" baseline="0">
              <a:solidFill>
                <a:schemeClr val="dk1"/>
              </a:solidFill>
              <a:effectLst/>
              <a:latin typeface="+mn-lt"/>
              <a:ea typeface="+mn-ea"/>
              <a:cs typeface="+mn-cs"/>
            </a:rPr>
          </a:br>
          <a:r>
            <a:rPr lang="en-US" sz="1100" b="0" i="0">
              <a:solidFill>
                <a:schemeClr val="dk1"/>
              </a:solidFill>
              <a:effectLst/>
              <a:latin typeface="+mn-lt"/>
              <a:ea typeface="+mn-ea"/>
              <a:cs typeface="+mn-cs"/>
            </a:rPr>
            <a:t>Dust control for Years</a:t>
          </a:r>
          <a:r>
            <a:rPr lang="en-US" sz="1100" b="0" i="0" baseline="0">
              <a:solidFill>
                <a:schemeClr val="dk1"/>
              </a:solidFill>
              <a:effectLst/>
              <a:latin typeface="+mn-lt"/>
              <a:ea typeface="+mn-ea"/>
              <a:cs typeface="+mn-cs"/>
            </a:rPr>
            <a:t> 2-5</a:t>
          </a:r>
          <a:r>
            <a:rPr lang="en-US" sz="1100" b="0" i="0">
              <a:solidFill>
                <a:schemeClr val="dk1"/>
              </a:solidFill>
              <a:effectLst/>
              <a:latin typeface="+mn-lt"/>
              <a:ea typeface="+mn-ea"/>
              <a:cs typeface="+mn-cs"/>
            </a:rPr>
            <a:t> is included below, not duplicated here.</a:t>
          </a:r>
          <a:br>
            <a:rPr lang="en-US" sz="1100" b="0" i="0">
              <a:solidFill>
                <a:schemeClr val="dk1"/>
              </a:solidFill>
              <a:effectLst/>
              <a:latin typeface="+mn-lt"/>
              <a:ea typeface="+mn-ea"/>
              <a:cs typeface="+mn-cs"/>
            </a:rPr>
          </a:br>
          <a:r>
            <a:rPr lang="en-US" sz="1100" b="0" i="0">
              <a:solidFill>
                <a:schemeClr val="dk1"/>
              </a:solidFill>
              <a:effectLst/>
              <a:latin typeface="+mn-lt"/>
              <a:ea typeface="+mn-ea"/>
              <a:cs typeface="+mn-cs"/>
            </a:rPr>
            <a:t>Water monitoring for Years 2-5 is included below,</a:t>
          </a:r>
          <a:r>
            <a:rPr lang="en-US" sz="1100" b="0" i="0" baseline="0">
              <a:solidFill>
                <a:schemeClr val="dk1"/>
              </a:solidFill>
              <a:effectLst/>
              <a:latin typeface="+mn-lt"/>
              <a:ea typeface="+mn-ea"/>
              <a:cs typeface="+mn-cs"/>
            </a:rPr>
            <a:t> n</a:t>
          </a:r>
          <a:r>
            <a:rPr lang="en-US" sz="1100" b="0" i="0">
              <a:solidFill>
                <a:schemeClr val="dk1"/>
              </a:solidFill>
              <a:effectLst/>
              <a:latin typeface="+mn-lt"/>
              <a:ea typeface="+mn-ea"/>
              <a:cs typeface="+mn-cs"/>
            </a:rPr>
            <a:t>ot duplicated here.</a:t>
          </a:r>
          <a:br>
            <a:rPr lang="en-US" sz="1100" b="0" i="0" u="none" strike="noStrike" baseline="0">
              <a:solidFill>
                <a:schemeClr val="dk1"/>
              </a:solidFill>
              <a:effectLst/>
              <a:latin typeface="+mn-lt"/>
              <a:ea typeface="+mn-ea"/>
              <a:cs typeface="+mn-cs"/>
            </a:rPr>
          </a:br>
          <a:endParaRPr lang="en-US" sz="1100" b="0"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Assume the following personnel to manage the site,</a:t>
          </a:r>
          <a:r>
            <a:rPr lang="en-US" sz="1100" b="0" i="0" u="none" strike="noStrike" baseline="0">
              <a:solidFill>
                <a:schemeClr val="dk1"/>
              </a:solidFill>
              <a:effectLst/>
              <a:latin typeface="+mn-lt"/>
              <a:ea typeface="+mn-ea"/>
              <a:cs typeface="+mn-cs"/>
            </a:rPr>
            <a:t> oversee contractors, </a:t>
          </a:r>
          <a:r>
            <a:rPr lang="en-US" sz="1100" b="0" i="0" u="none" strike="noStrike">
              <a:solidFill>
                <a:schemeClr val="dk1"/>
              </a:solidFill>
              <a:effectLst/>
              <a:latin typeface="+mn-lt"/>
              <a:ea typeface="+mn-ea"/>
              <a:cs typeface="+mn-cs"/>
            </a:rPr>
            <a:t>and implement the approved reclamation plan:</a:t>
          </a:r>
          <a:r>
            <a:rPr lang="en-US"/>
            <a:t> </a:t>
          </a:r>
          <a:endParaRPr lang="en-US" sz="1100"/>
        </a:p>
      </xdr:txBody>
    </xdr:sp>
    <xdr:clientData/>
  </xdr:twoCellAnchor>
  <xdr:twoCellAnchor>
    <xdr:from>
      <xdr:col>0</xdr:col>
      <xdr:colOff>252580</xdr:colOff>
      <xdr:row>701</xdr:row>
      <xdr:rowOff>158904</xdr:rowOff>
    </xdr:from>
    <xdr:to>
      <xdr:col>7</xdr:col>
      <xdr:colOff>1006929</xdr:colOff>
      <xdr:row>741</xdr:row>
      <xdr:rowOff>108858</xdr:rowOff>
    </xdr:to>
    <xdr:sp macro="" textlink="">
      <xdr:nvSpPr>
        <xdr:cNvPr id="3" name="TextBox 2">
          <a:extLst>
            <a:ext uri="{FF2B5EF4-FFF2-40B4-BE49-F238E27FC236}">
              <a16:creationId xmlns:a16="http://schemas.microsoft.com/office/drawing/2014/main" id="{5FFBACF8-9FDE-4972-9163-3B4CE7DC41E9}"/>
            </a:ext>
          </a:extLst>
        </xdr:cNvPr>
        <xdr:cNvSpPr txBox="1"/>
      </xdr:nvSpPr>
      <xdr:spPr>
        <a:xfrm>
          <a:off x="252580" y="131821618"/>
          <a:ext cx="12129920" cy="75699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baseline="0">
              <a:solidFill>
                <a:schemeClr val="dk1"/>
              </a:solidFill>
              <a:latin typeface="+mn-lt"/>
              <a:ea typeface="+mn-ea"/>
              <a:cs typeface="+mn-cs"/>
            </a:rPr>
            <a:t>10.4 REVEGETATION MONITORING AND MANAGEMENT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Reclaimed areas are monitored to assess desirable plant establishment, particularly as it relates to the utility and stability of reclamation relative to adjacent areas. Monitoring data also characterize the presence and extent of undesirable species and prescribe management options. MR evaluates the relationship between coversoil and/or topsoil characteristics and revegetation establishment. Site stability measurements include the distribution, dimensions, and photo documentation of erosion features. Monitoring work also includes inspection of catchment areas, including Clearwater Ditch, to identify potential impacts of sediment deposition on surface flow patterns and prescribe remedies. </a:t>
          </a:r>
        </a:p>
        <a:p>
          <a:r>
            <a:rPr lang="en-US" sz="1100" b="0" i="0" u="none" strike="noStrike" baseline="0">
              <a:solidFill>
                <a:schemeClr val="dk1"/>
              </a:solidFill>
              <a:latin typeface="+mn-lt"/>
              <a:ea typeface="+mn-ea"/>
              <a:cs typeface="+mn-cs"/>
            </a:rPr>
            <a:t>Sites with poor vegetation establishment, substantial erosion, or undesirable sediment deposition are identified for supplemental seeding and/or repair. </a:t>
          </a:r>
        </a:p>
        <a:p>
          <a:r>
            <a:rPr lang="en-US" sz="1100" b="0" i="0" u="none" strike="noStrike" baseline="0">
              <a:solidFill>
                <a:schemeClr val="dk1"/>
              </a:solidFill>
              <a:latin typeface="+mn-lt"/>
              <a:ea typeface="+mn-ea"/>
              <a:cs typeface="+mn-cs"/>
            </a:rPr>
            <a:t>Revegetated areas will be qualitatively and quantitatively evaluated by qualified reclamation specialists. Initially, monitoring would focus on documenting perennial grass seedling density, identifying areas with noxious weeds or other invasive species, and describing areas with accelerated erosion. Subsequent monitoring would focus on documenting revegetation development to a stable, self-sustaining vegetative cover that is capable of supporting post-closure land use objectives. </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10.4.1 First Growing Season Monitoring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Typically, monitoring during the first growing season would occur as late as practicable within that season to allow for plant establishment. Monitoring would focus on evaluating perennial grass establishment, erosion, and invasive species establishment. </a:t>
          </a:r>
        </a:p>
        <a:p>
          <a:endParaRPr lang="en-US" sz="1100" b="0" i="0" u="none" strike="noStrike" baseline="0">
            <a:solidFill>
              <a:schemeClr val="dk1"/>
            </a:solidFill>
            <a:latin typeface="+mn-lt"/>
            <a:ea typeface="+mn-ea"/>
            <a:cs typeface="+mn-cs"/>
          </a:endParaRPr>
        </a:p>
        <a:p>
          <a:r>
            <a:rPr lang="en-US" sz="1100" b="1" i="0" u="none" strike="noStrike" baseline="0">
              <a:solidFill>
                <a:schemeClr val="dk1"/>
              </a:solidFill>
              <a:latin typeface="+mn-lt"/>
              <a:ea typeface="+mn-ea"/>
              <a:cs typeface="+mn-cs"/>
            </a:rPr>
            <a:t>10.4.2 Subsequent Growing Season Monitoring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Revegetation monitoring in subsequent growing seasons would focus on documenting the establishment of a stable, self-sustaining vegetative cover that is capable of supporting post-closure land use objectives. In particular, monitoring in subsequent years would document plant canopy cover and species composition as well as continue to record accelerated erosion and invasive species.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10.4.3 Revegetation Management </a:t>
          </a:r>
          <a:endParaRPr lang="en-US" sz="1100" b="0" i="0" u="none" strike="noStrike" baseline="0">
            <a:solidFill>
              <a:schemeClr val="dk1"/>
            </a:solidFill>
            <a:latin typeface="+mn-lt"/>
            <a:ea typeface="+mn-ea"/>
            <a:cs typeface="+mn-cs"/>
          </a:endParaRPr>
        </a:p>
        <a:p>
          <a:r>
            <a:rPr lang="en-US" sz="1100" b="0" i="0" u="none" strike="noStrike" baseline="0">
              <a:solidFill>
                <a:schemeClr val="dk1"/>
              </a:solidFill>
              <a:latin typeface="+mn-lt"/>
              <a:ea typeface="+mn-ea"/>
              <a:cs typeface="+mn-cs"/>
            </a:rPr>
            <a:t>Areas with poor germination and/or growth would be noted and evaluated during revegetation monitoring to determine the probable cause. Remedial seeding or additional erosion control measures may be completed if necessary to address areas of poor germination or growth. </a:t>
          </a:r>
        </a:p>
        <a:p>
          <a:r>
            <a:rPr lang="en-US" sz="1100" b="0" i="0" u="none" strike="noStrike" baseline="0">
              <a:solidFill>
                <a:schemeClr val="dk1"/>
              </a:solidFill>
              <a:latin typeface="+mn-lt"/>
              <a:ea typeface="+mn-ea"/>
              <a:cs typeface="+mn-cs"/>
            </a:rPr>
            <a:t>Revegetation techniques and seed mixtures proposed in this Reclamation Plan may be modified, with DEQ concurrence, to improve revegetation success if monitoring indicates failure, or if new techniques or methods are developed that would improve revegetation establishment and stability. Vehicle traffic would be barred from reclaimed areas. Wildlife damage may be controlled as necessary by selective fencing or chemical repellent. </a:t>
          </a:r>
        </a:p>
        <a:p>
          <a:r>
            <a:rPr lang="en-US" sz="1100" b="0" i="0" u="none" strike="noStrike" baseline="0">
              <a:solidFill>
                <a:schemeClr val="dk1"/>
              </a:solidFill>
              <a:latin typeface="+mn-lt"/>
              <a:ea typeface="+mn-ea"/>
              <a:cs typeface="+mn-cs"/>
            </a:rPr>
            <a:t>Noxious weeds would be treated as discussed in Section 10.7 and Appendix RP-A. </a:t>
          </a:r>
        </a:p>
        <a:p>
          <a:r>
            <a:rPr lang="en-US" sz="1100" b="0" i="0" u="none" strike="noStrike" baseline="0">
              <a:solidFill>
                <a:schemeClr val="dk1"/>
              </a:solidFill>
              <a:latin typeface="+mn-lt"/>
              <a:ea typeface="+mn-ea"/>
              <a:cs typeface="+mn-cs"/>
            </a:rPr>
            <a:t>The goal of reclamation is to establish a stable, self-sustaining vegetative cover capable of supporting post-closure land use objectives. MR prefers to minimize special post-closure treatments that would be necessary to achieve this goal. Irrigation, supplemental fertilization, interseeding or other treatments are not proposed at this time but may be considered on a case-by-case basis as necessary, following consultation with DEQ. </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1" i="0" u="none" strike="noStrike" baseline="0">
              <a:solidFill>
                <a:schemeClr val="dk1"/>
              </a:solidFill>
              <a:latin typeface="+mn-lt"/>
              <a:ea typeface="+mn-ea"/>
              <a:cs typeface="+mn-cs"/>
            </a:rPr>
            <a:t>Assumptions:</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The schedule in the Reclamation Plan reflects the required timelines for the permittee and their available equipment fleet and staffing.</a:t>
          </a:r>
        </a:p>
        <a:p>
          <a:r>
            <a:rPr lang="en-US" sz="1100" b="0" i="0" u="none" strike="noStrike" baseline="0">
              <a:solidFill>
                <a:schemeClr val="dk1"/>
              </a:solidFill>
              <a:latin typeface="+mn-lt"/>
              <a:ea typeface="+mn-ea"/>
              <a:cs typeface="+mn-cs"/>
            </a:rPr>
            <a:t>Following a hypothetical bankruptcy or permit revocation and bond forfeiture, DEQ assumes that at least 1 year will be needed to resolve bankruptcy conditions and/or obtain the bond. Reclamation will occur annually across the mine site during the initial years post-closure (assumed within 5 years from closure), followed by less frequent reclamation of the TSF transition zone as the pond recedes to an equilibrium volume/elevation. BMFOU water management and treatment would be ongoing throughout this time period, under the applicable requirements for the Remedy.</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 Year 1 interim management and monitoring (legal process/obtain bond);</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 Years 2-5 implement major reclamation actions, site management and monitoring;</a:t>
          </a: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 Years 6-30+ incremental reclamation of TSF transition zone, post-closure site management and monitoring</a:t>
          </a:r>
          <a:br>
            <a:rPr lang="en-US" sz="1100" b="0" i="0" u="none" strike="noStrike" baseline="0">
              <a:solidFill>
                <a:schemeClr val="dk1"/>
              </a:solidFill>
              <a:latin typeface="+mn-lt"/>
              <a:ea typeface="+mn-ea"/>
              <a:cs typeface="+mn-cs"/>
            </a:rPr>
          </a:br>
          <a:br>
            <a:rPr lang="en-US" sz="1100" b="0" i="0" u="none" strike="noStrike" baseline="0">
              <a:solidFill>
                <a:schemeClr val="dk1"/>
              </a:solidFill>
              <a:latin typeface="+mn-lt"/>
              <a:ea typeface="+mn-ea"/>
              <a:cs typeface="+mn-cs"/>
            </a:rPr>
          </a:br>
          <a:r>
            <a:rPr lang="en-US" sz="1100" b="0" i="0" u="none" strike="noStrike" baseline="0">
              <a:solidFill>
                <a:schemeClr val="dk1"/>
              </a:solidFill>
              <a:latin typeface="+mn-lt"/>
              <a:ea typeface="+mn-ea"/>
              <a:cs typeface="+mn-cs"/>
            </a:rPr>
            <a:t>Revegetation monitoring would occur annually for five years following successive seeding campaigns, then frequency would decrease to five year intervals until determining stable vegetation sucess to allow bond release/permit closure.</a:t>
          </a:r>
          <a:endParaRPr lang="en-US" sz="1100"/>
        </a:p>
      </xdr:txBody>
    </xdr:sp>
    <xdr:clientData/>
  </xdr:twoCellAnchor>
  <xdr:twoCellAnchor editAs="oneCell">
    <xdr:from>
      <xdr:col>6</xdr:col>
      <xdr:colOff>428608</xdr:colOff>
      <xdr:row>295</xdr:row>
      <xdr:rowOff>149824</xdr:rowOff>
    </xdr:from>
    <xdr:to>
      <xdr:col>9</xdr:col>
      <xdr:colOff>2307397</xdr:colOff>
      <xdr:row>315</xdr:row>
      <xdr:rowOff>97298</xdr:rowOff>
    </xdr:to>
    <xdr:pic>
      <xdr:nvPicPr>
        <xdr:cNvPr id="11" name="Picture 10">
          <a:extLst>
            <a:ext uri="{FF2B5EF4-FFF2-40B4-BE49-F238E27FC236}">
              <a16:creationId xmlns:a16="http://schemas.microsoft.com/office/drawing/2014/main" id="{281759E4-285E-643A-A3CF-1B6F17BC1B79}"/>
            </a:ext>
          </a:extLst>
        </xdr:cNvPr>
        <xdr:cNvPicPr>
          <a:picLocks noChangeAspect="1"/>
        </xdr:cNvPicPr>
      </xdr:nvPicPr>
      <xdr:blipFill>
        <a:blip xmlns:r="http://schemas.openxmlformats.org/officeDocument/2006/relationships" r:embed="rId9"/>
        <a:stretch>
          <a:fillRect/>
        </a:stretch>
      </xdr:blipFill>
      <xdr:spPr>
        <a:xfrm>
          <a:off x="10614755" y="56493000"/>
          <a:ext cx="7171776" cy="3751759"/>
        </a:xfrm>
        <a:prstGeom prst="rect">
          <a:avLst/>
        </a:prstGeom>
        <a:ln>
          <a:solidFill>
            <a:sysClr val="windowText" lastClr="000000"/>
          </a:solidFill>
        </a:ln>
      </xdr:spPr>
    </xdr:pic>
    <xdr:clientData/>
  </xdr:twoCellAnchor>
  <xdr:twoCellAnchor editAs="oneCell">
    <xdr:from>
      <xdr:col>6</xdr:col>
      <xdr:colOff>358589</xdr:colOff>
      <xdr:row>316</xdr:row>
      <xdr:rowOff>112058</xdr:rowOff>
    </xdr:from>
    <xdr:to>
      <xdr:col>12</xdr:col>
      <xdr:colOff>1085259</xdr:colOff>
      <xdr:row>331</xdr:row>
      <xdr:rowOff>55376</xdr:rowOff>
    </xdr:to>
    <xdr:pic>
      <xdr:nvPicPr>
        <xdr:cNvPr id="2" name="Picture 1">
          <a:extLst>
            <a:ext uri="{FF2B5EF4-FFF2-40B4-BE49-F238E27FC236}">
              <a16:creationId xmlns:a16="http://schemas.microsoft.com/office/drawing/2014/main" id="{F80E61A3-C0BA-41E6-94B3-24242DAF44AA}"/>
            </a:ext>
          </a:extLst>
        </xdr:cNvPr>
        <xdr:cNvPicPr>
          <a:picLocks noChangeAspect="1"/>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0544736" y="60455734"/>
          <a:ext cx="10950021" cy="3191343"/>
        </a:xfrm>
        <a:prstGeom prst="rect">
          <a:avLst/>
        </a:prstGeom>
        <a:ln>
          <a:solidFill>
            <a:sysClr val="windowText" lastClr="000000"/>
          </a:solidFill>
        </a:ln>
      </xdr:spPr>
    </xdr:pic>
    <xdr:clientData/>
  </xdr:twoCellAnchor>
  <xdr:twoCellAnchor>
    <xdr:from>
      <xdr:col>0</xdr:col>
      <xdr:colOff>222211</xdr:colOff>
      <xdr:row>588</xdr:row>
      <xdr:rowOff>80122</xdr:rowOff>
    </xdr:from>
    <xdr:to>
      <xdr:col>5</xdr:col>
      <xdr:colOff>1191633</xdr:colOff>
      <xdr:row>599</xdr:row>
      <xdr:rowOff>35522</xdr:rowOff>
    </xdr:to>
    <xdr:sp macro="" textlink="">
      <xdr:nvSpPr>
        <xdr:cNvPr id="30" name="TextBox 29">
          <a:extLst>
            <a:ext uri="{FF2B5EF4-FFF2-40B4-BE49-F238E27FC236}">
              <a16:creationId xmlns:a16="http://schemas.microsoft.com/office/drawing/2014/main" id="{3F55C42F-E588-A05D-BE8E-749197763DD5}"/>
            </a:ext>
          </a:extLst>
        </xdr:cNvPr>
        <xdr:cNvSpPr txBox="1"/>
      </xdr:nvSpPr>
      <xdr:spPr>
        <a:xfrm>
          <a:off x="222211" y="108519446"/>
          <a:ext cx="10135834" cy="19276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ysClr val="windowText" lastClr="000000"/>
              </a:solidFill>
              <a:effectLst/>
              <a:latin typeface="+mn-lt"/>
              <a:ea typeface="+mn-ea"/>
              <a:cs typeface="+mn-cs"/>
            </a:rPr>
            <a:t>Proposed Bond Update: A contingency for lime treatment of the post-closure TSF pond is no longer necessary or "reasonably foreseeable." This cost is removed from the Proposed Bond.</a:t>
          </a:r>
          <a:br>
            <a:rPr lang="en-US" sz="1100" b="1">
              <a:solidFill>
                <a:sysClr val="windowText" lastClr="000000"/>
              </a:solidFill>
              <a:effectLst/>
              <a:latin typeface="+mn-lt"/>
              <a:ea typeface="+mn-ea"/>
              <a:cs typeface="+mn-cs"/>
            </a:rPr>
          </a:br>
          <a:endParaRPr lang="en-US" sz="1100" b="1">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The "Worst Case" and "Probably Case" scenarios in Amendment 010 (2018)</a:t>
          </a:r>
          <a:r>
            <a:rPr lang="en-US" sz="1100" b="1" baseline="0">
              <a:solidFill>
                <a:sysClr val="windowText" lastClr="000000"/>
              </a:solidFill>
              <a:effectLst/>
              <a:latin typeface="+mn-lt"/>
              <a:ea typeface="+mn-ea"/>
              <a:cs typeface="+mn-cs"/>
            </a:rPr>
            <a:t> </a:t>
          </a:r>
          <a:r>
            <a:rPr lang="en-US" sz="1100" b="1">
              <a:solidFill>
                <a:sysClr val="windowText" lastClr="000000"/>
              </a:solidFill>
              <a:effectLst/>
              <a:latin typeface="+mn-lt"/>
              <a:ea typeface="+mn-ea"/>
              <a:cs typeface="+mn-cs"/>
            </a:rPr>
            <a:t>included pumping the water from WED seepage back to the TSF pond, which would be a long-term source of acidity and metals. There was also uncertainty at that</a:t>
          </a:r>
          <a:r>
            <a:rPr lang="en-US" sz="1100" b="1" baseline="0">
              <a:solidFill>
                <a:sysClr val="windowText" lastClr="000000"/>
              </a:solidFill>
              <a:effectLst/>
              <a:latin typeface="+mn-lt"/>
              <a:ea typeface="+mn-ea"/>
              <a:cs typeface="+mn-cs"/>
            </a:rPr>
            <a:t> time</a:t>
          </a:r>
          <a:r>
            <a:rPr lang="en-US" sz="1100" b="1">
              <a:solidFill>
                <a:sysClr val="windowText" lastClr="000000"/>
              </a:solidFill>
              <a:effectLst/>
              <a:latin typeface="+mn-lt"/>
              <a:ea typeface="+mn-ea"/>
              <a:cs typeface="+mn-cs"/>
            </a:rPr>
            <a:t> about the kinetic behavior of tailings that remained unreclaimed during pond recession.</a:t>
          </a:r>
          <a:br>
            <a:rPr lang="en-US" sz="1100" b="1">
              <a:solidFill>
                <a:sysClr val="windowText" lastClr="000000"/>
              </a:solidFill>
              <a:effectLst/>
              <a:latin typeface="+mn-lt"/>
              <a:ea typeface="+mn-ea"/>
              <a:cs typeface="+mn-cs"/>
            </a:rPr>
          </a:br>
          <a:endParaRPr lang="en-US" sz="1100" b="1">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The WED seepage is now considered part of BMFOU post-mining management (9/12/22 approval from EPA), meaning this would no longer be an inflow source to the pond. MR has also conducted kinetic tests of tailings (2023-2024; in Amend 012 application) to demonstrate a slow oxidation rate, which supports assumptions that exposed tailings would be capped quickly or otherwise saturated and precluded from significant acidification of the pond. If the pond is retained as a water treatment feature under BMFOU (decision not yet formalized?), then contingencies for the water level and chemistry would fall under Superfund</a:t>
          </a:r>
          <a:r>
            <a:rPr lang="en-US" sz="1100" b="1" baseline="0">
              <a:solidFill>
                <a:sysClr val="windowText" lastClr="000000"/>
              </a:solidFill>
              <a:effectLst/>
              <a:latin typeface="+mn-lt"/>
              <a:ea typeface="+mn-ea"/>
              <a:cs typeface="+mn-cs"/>
            </a:rPr>
            <a:t> authority.</a:t>
          </a:r>
          <a:endParaRPr lang="en-US" sz="1100" b="1">
            <a:solidFill>
              <a:sysClr val="windowText" lastClr="000000"/>
            </a:solidFill>
            <a:effectLst/>
            <a:latin typeface="+mn-lt"/>
            <a:ea typeface="+mn-ea"/>
            <a:cs typeface="+mn-cs"/>
          </a:endParaRPr>
        </a:p>
        <a:p>
          <a:endParaRPr lang="en-US" sz="1100" b="1">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312963</xdr:colOff>
      <xdr:row>122</xdr:row>
      <xdr:rowOff>27214</xdr:rowOff>
    </xdr:from>
    <xdr:to>
      <xdr:col>5</xdr:col>
      <xdr:colOff>625927</xdr:colOff>
      <xdr:row>129</xdr:row>
      <xdr:rowOff>110837</xdr:rowOff>
    </xdr:to>
    <xdr:sp macro="" textlink="">
      <xdr:nvSpPr>
        <xdr:cNvPr id="4" name="TextBox 3">
          <a:extLst>
            <a:ext uri="{FF2B5EF4-FFF2-40B4-BE49-F238E27FC236}">
              <a16:creationId xmlns:a16="http://schemas.microsoft.com/office/drawing/2014/main" id="{54A625E5-6297-4E28-9135-D4AABA1F720F}"/>
            </a:ext>
          </a:extLst>
        </xdr:cNvPr>
        <xdr:cNvSpPr txBox="1"/>
      </xdr:nvSpPr>
      <xdr:spPr>
        <a:xfrm>
          <a:off x="312963" y="42796196"/>
          <a:ext cx="9110600" cy="134438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0" u="none" strike="noStrike">
              <a:solidFill>
                <a:schemeClr val="dk1"/>
              </a:solidFill>
              <a:effectLst/>
              <a:latin typeface="+mn-lt"/>
              <a:ea typeface="+mn-ea"/>
              <a:cs typeface="+mn-cs"/>
            </a:rPr>
            <a:t>Assumptions:</a:t>
          </a:r>
          <a:r>
            <a:rPr lang="en-US" b="1"/>
            <a:t> </a:t>
          </a:r>
          <a:r>
            <a:rPr lang="en-US" sz="1100" b="0" i="0" u="none" strike="noStrike">
              <a:solidFill>
                <a:schemeClr val="dk1"/>
              </a:solidFill>
              <a:effectLst/>
              <a:latin typeface="+mn-lt"/>
              <a:ea typeface="+mn-ea"/>
              <a:cs typeface="+mn-cs"/>
            </a:rPr>
            <a:t>Ongoing discharge</a:t>
          </a:r>
          <a:r>
            <a:rPr lang="en-US" sz="1100" b="0" i="0" u="none" strike="noStrike" baseline="0">
              <a:solidFill>
                <a:schemeClr val="dk1"/>
              </a:solidFill>
              <a:effectLst/>
              <a:latin typeface="+mn-lt"/>
              <a:ea typeface="+mn-ea"/>
              <a:cs typeface="+mn-cs"/>
            </a:rPr>
            <a:t> of BMFOU waters into the TSF is not currently approved. </a:t>
          </a:r>
          <a:r>
            <a:rPr lang="en-US" sz="1100" b="0" i="0" u="none" strike="noStrike">
              <a:solidFill>
                <a:schemeClr val="dk1"/>
              </a:solidFill>
              <a:effectLst/>
              <a:latin typeface="+mn-lt"/>
              <a:ea typeface="+mn-ea"/>
              <a:cs typeface="+mn-cs"/>
            </a:rPr>
            <a:t>The tailings are allowed to dry naturally and consolidate, therefore are susceptible to wind erosion.</a:t>
          </a:r>
          <a:r>
            <a:rPr lang="en-US"/>
            <a:t> </a:t>
          </a:r>
          <a:br>
            <a:rPr lang="en-US"/>
          </a:br>
          <a:r>
            <a:rPr lang="en-US" baseline="0"/>
            <a:t>The exposed transition zone will need dust control before it is capped with alluvioum and revegetated.</a:t>
          </a:r>
          <a:br>
            <a:rPr lang="en-US" baseline="0"/>
          </a:br>
          <a:br>
            <a:rPr lang="en-US" baseline="0"/>
          </a:br>
          <a:r>
            <a:rPr lang="en-US" sz="1100" b="0" i="0" u="none" strike="noStrike">
              <a:solidFill>
                <a:schemeClr val="dk1"/>
              </a:solidFill>
              <a:effectLst/>
              <a:latin typeface="+mn-lt"/>
              <a:ea typeface="+mn-ea"/>
              <a:cs typeface="+mn-cs"/>
            </a:rPr>
            <a:t>If deemed applicable and safe, dust suppressant, such as Magnesium Chloride, will be applied using a</a:t>
          </a:r>
          <a:r>
            <a:rPr lang="en-US" sz="1100" b="0" i="0" u="none" strike="noStrike" baseline="0">
              <a:solidFill>
                <a:schemeClr val="dk1"/>
              </a:solidFill>
              <a:effectLst/>
              <a:latin typeface="+mn-lt"/>
              <a:ea typeface="+mn-ea"/>
              <a:cs typeface="+mn-cs"/>
            </a:rPr>
            <a:t> purchased</a:t>
          </a:r>
          <a:r>
            <a:rPr lang="en-US" sz="1100" b="0" i="0" u="none" strike="noStrike">
              <a:solidFill>
                <a:schemeClr val="dk1"/>
              </a:solidFill>
              <a:effectLst/>
              <a:latin typeface="+mn-lt"/>
              <a:ea typeface="+mn-ea"/>
              <a:cs typeface="+mn-cs"/>
            </a:rPr>
            <a:t> Terramac RT9. </a:t>
          </a:r>
          <a:r>
            <a:rPr lang="en-US" sz="1100" b="0" i="0">
              <a:solidFill>
                <a:schemeClr val="dk1"/>
              </a:solidFill>
              <a:effectLst/>
              <a:latin typeface="+mn-lt"/>
              <a:ea typeface="+mn-ea"/>
              <a:cs typeface="+mn-cs"/>
            </a:rPr>
            <a:t>Dust suppressant is applied to the tailings beach surface at varying application rates. </a:t>
          </a:r>
          <a:r>
            <a:rPr lang="en-US" sz="1100" b="0" i="0" u="none" strike="noStrike">
              <a:solidFill>
                <a:schemeClr val="dk1"/>
              </a:solidFill>
              <a:effectLst/>
              <a:latin typeface="+mn-lt"/>
              <a:ea typeface="+mn-ea"/>
              <a:cs typeface="+mn-cs"/>
            </a:rPr>
            <a:t>Deployment of the Terramac, requires two operators to maneuver the machine (hourly</a:t>
          </a:r>
          <a:r>
            <a:rPr lang="en-US" sz="1100" b="0" i="0" u="none" strike="noStrike" baseline="0">
              <a:solidFill>
                <a:schemeClr val="dk1"/>
              </a:solidFill>
              <a:effectLst/>
              <a:latin typeface="+mn-lt"/>
              <a:ea typeface="+mn-ea"/>
              <a:cs typeface="+mn-cs"/>
            </a:rPr>
            <a:t> rate to be included here)</a:t>
          </a:r>
          <a:r>
            <a:rPr lang="en-US" sz="1100" b="0" i="0" u="none" strike="noStrike">
              <a:solidFill>
                <a:schemeClr val="dk1"/>
              </a:solidFill>
              <a:effectLst/>
              <a:latin typeface="+mn-lt"/>
              <a:ea typeface="+mn-ea"/>
              <a:cs typeface="+mn-cs"/>
            </a:rPr>
            <a:t>.</a:t>
          </a:r>
          <a:r>
            <a:rPr lang="en-US"/>
            <a:t> </a:t>
          </a:r>
          <a:endParaRPr lang="en-US" sz="1100"/>
        </a:p>
      </xdr:txBody>
    </xdr:sp>
    <xdr:clientData/>
  </xdr:twoCellAnchor>
  <xdr:twoCellAnchor editAs="oneCell">
    <xdr:from>
      <xdr:col>6</xdr:col>
      <xdr:colOff>154977</xdr:colOff>
      <xdr:row>85</xdr:row>
      <xdr:rowOff>93457</xdr:rowOff>
    </xdr:from>
    <xdr:to>
      <xdr:col>14</xdr:col>
      <xdr:colOff>208040</xdr:colOff>
      <xdr:row>101</xdr:row>
      <xdr:rowOff>136999</xdr:rowOff>
    </xdr:to>
    <xdr:pic>
      <xdr:nvPicPr>
        <xdr:cNvPr id="2" name="Picture 1">
          <a:extLst>
            <a:ext uri="{FF2B5EF4-FFF2-40B4-BE49-F238E27FC236}">
              <a16:creationId xmlns:a16="http://schemas.microsoft.com/office/drawing/2014/main" id="{8830393D-B581-41F6-AFCC-1319D7F0808D}"/>
            </a:ext>
          </a:extLst>
        </xdr:cNvPr>
        <xdr:cNvPicPr>
          <a:picLocks noChangeAspect="1"/>
        </xdr:cNvPicPr>
      </xdr:nvPicPr>
      <xdr:blipFill>
        <a:blip xmlns:r="http://schemas.openxmlformats.org/officeDocument/2006/relationships" r:embed="rId1"/>
        <a:stretch>
          <a:fillRect/>
        </a:stretch>
      </xdr:blipFill>
      <xdr:spPr>
        <a:xfrm>
          <a:off x="10374742" y="15154163"/>
          <a:ext cx="7348316" cy="3291567"/>
        </a:xfrm>
        <a:prstGeom prst="rect">
          <a:avLst/>
        </a:prstGeom>
        <a:ln>
          <a:solidFill>
            <a:sysClr val="windowText" lastClr="000000"/>
          </a:solid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266699</xdr:colOff>
      <xdr:row>3</xdr:row>
      <xdr:rowOff>55243</xdr:rowOff>
    </xdr:from>
    <xdr:to>
      <xdr:col>7</xdr:col>
      <xdr:colOff>285750</xdr:colOff>
      <xdr:row>39</xdr:row>
      <xdr:rowOff>166556</xdr:rowOff>
    </xdr:to>
    <xdr:pic>
      <xdr:nvPicPr>
        <xdr:cNvPr id="2" name="Picture 1">
          <a:extLst>
            <a:ext uri="{FF2B5EF4-FFF2-40B4-BE49-F238E27FC236}">
              <a16:creationId xmlns:a16="http://schemas.microsoft.com/office/drawing/2014/main" id="{1D3B9A8B-21A4-44A7-809A-1796309BAAD2}"/>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266699" y="598168"/>
          <a:ext cx="4286251" cy="6626413"/>
        </a:xfrm>
        <a:prstGeom prst="rect">
          <a:avLst/>
        </a:prstGeom>
        <a:ln>
          <a:solidFill>
            <a:schemeClr val="tx1"/>
          </a:solidFill>
        </a:ln>
      </xdr:spPr>
    </xdr:pic>
    <xdr:clientData/>
  </xdr:twoCellAnchor>
  <xdr:twoCellAnchor editAs="oneCell">
    <xdr:from>
      <xdr:col>9</xdr:col>
      <xdr:colOff>95475</xdr:colOff>
      <xdr:row>11</xdr:row>
      <xdr:rowOff>81577</xdr:rowOff>
    </xdr:from>
    <xdr:to>
      <xdr:col>12</xdr:col>
      <xdr:colOff>204183</xdr:colOff>
      <xdr:row>40</xdr:row>
      <xdr:rowOff>138728</xdr:rowOff>
    </xdr:to>
    <xdr:pic>
      <xdr:nvPicPr>
        <xdr:cNvPr id="3" name="Picture 2">
          <a:extLst>
            <a:ext uri="{FF2B5EF4-FFF2-40B4-BE49-F238E27FC236}">
              <a16:creationId xmlns:a16="http://schemas.microsoft.com/office/drawing/2014/main" id="{71A405EF-7D9D-700F-3741-3DD0F603127C}"/>
            </a:ext>
          </a:extLst>
        </xdr:cNvPr>
        <xdr:cNvPicPr>
          <a:picLocks noChangeAspect="1"/>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a:xfrm>
          <a:off x="5541534" y="2042606"/>
          <a:ext cx="4602267" cy="5256681"/>
        </a:xfrm>
        <a:prstGeom prst="rect">
          <a:avLst/>
        </a:prstGeom>
        <a:ln>
          <a:solidFill>
            <a:schemeClr val="tx1"/>
          </a:solid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vinedisposal.com/how-to-calculate-demolition-debris-waste.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FC53D-233C-47AC-BCCB-EE589CB6EE59}">
  <sheetPr codeName="Sheet21">
    <tabColor theme="9" tint="0.59999389629810485"/>
    <pageSetUpPr fitToPage="1"/>
  </sheetPr>
  <dimension ref="A1:J51"/>
  <sheetViews>
    <sheetView tabSelected="1" zoomScale="85" zoomScaleNormal="85" workbookViewId="0">
      <selection activeCell="D7" sqref="D7"/>
    </sheetView>
  </sheetViews>
  <sheetFormatPr defaultRowHeight="15" x14ac:dyDescent="0.25"/>
  <cols>
    <col min="1" max="1" width="62.28515625" bestFit="1" customWidth="1"/>
    <col min="2" max="2" width="17.7109375" style="1" bestFit="1" customWidth="1"/>
    <col min="3" max="3" width="23.140625" customWidth="1"/>
    <col min="4" max="4" width="20.42578125" customWidth="1"/>
    <col min="5" max="5" width="19.85546875" bestFit="1" customWidth="1"/>
    <col min="6" max="6" width="49.42578125" customWidth="1"/>
    <col min="7" max="7" width="17.28515625" bestFit="1" customWidth="1"/>
    <col min="8" max="8" width="21.140625" bestFit="1" customWidth="1"/>
    <col min="9" max="9" width="21.140625" customWidth="1"/>
    <col min="10" max="10" width="21" customWidth="1"/>
    <col min="11" max="12" width="27.140625" customWidth="1"/>
    <col min="13" max="13" width="31.140625" bestFit="1" customWidth="1"/>
    <col min="14" max="14" width="27.7109375" bestFit="1" customWidth="1"/>
  </cols>
  <sheetData>
    <row r="1" spans="1:10" ht="15.75" x14ac:dyDescent="0.25">
      <c r="A1" s="915" t="s">
        <v>235</v>
      </c>
      <c r="B1" s="915"/>
      <c r="C1" s="915"/>
      <c r="D1" s="915"/>
      <c r="E1" s="915"/>
      <c r="F1" s="458"/>
      <c r="J1" s="757"/>
    </row>
    <row r="2" spans="1:10" ht="15.75" x14ac:dyDescent="0.25">
      <c r="A2" s="915" t="s">
        <v>236</v>
      </c>
      <c r="B2" s="915"/>
      <c r="C2" s="915"/>
      <c r="D2" s="915"/>
      <c r="E2" s="915"/>
      <c r="F2" s="458"/>
      <c r="J2" s="458"/>
    </row>
    <row r="3" spans="1:10" ht="15.75" x14ac:dyDescent="0.25">
      <c r="A3" s="915" t="s">
        <v>2198</v>
      </c>
      <c r="B3" s="915"/>
      <c r="C3" s="915"/>
      <c r="D3" s="915"/>
      <c r="E3" s="915"/>
      <c r="F3" s="458"/>
      <c r="J3" s="458"/>
    </row>
    <row r="4" spans="1:10" ht="15.75" x14ac:dyDescent="0.25">
      <c r="A4" s="983">
        <v>46146</v>
      </c>
      <c r="B4" s="984"/>
      <c r="C4" s="984"/>
      <c r="D4" s="984"/>
      <c r="E4" s="984"/>
      <c r="F4" s="458"/>
      <c r="J4" s="458"/>
    </row>
    <row r="6" spans="1:10" ht="15.75" x14ac:dyDescent="0.25">
      <c r="A6" s="914" t="s">
        <v>237</v>
      </c>
      <c r="B6" s="914"/>
      <c r="C6" s="914"/>
      <c r="D6" s="914"/>
      <c r="E6" s="914"/>
      <c r="F6" s="3"/>
      <c r="G6" s="3"/>
      <c r="H6" s="3"/>
      <c r="I6" s="3"/>
      <c r="J6" s="3"/>
    </row>
    <row r="7" spans="1:10" x14ac:dyDescent="0.25">
      <c r="A7" s="3"/>
      <c r="B7" s="144"/>
      <c r="C7" s="14"/>
      <c r="D7" s="14"/>
      <c r="E7" s="14"/>
      <c r="F7" s="14"/>
      <c r="G7" s="3"/>
      <c r="H7" s="3"/>
      <c r="I7" s="3"/>
      <c r="J7" s="3"/>
    </row>
    <row r="8" spans="1:10" s="2" customFormat="1" x14ac:dyDescent="0.25">
      <c r="A8" s="464" t="s">
        <v>238</v>
      </c>
      <c r="B8" s="464"/>
      <c r="C8" s="464" t="s">
        <v>239</v>
      </c>
      <c r="E8" s="464"/>
      <c r="F8" s="464" t="s">
        <v>240</v>
      </c>
    </row>
    <row r="10" spans="1:10" x14ac:dyDescent="0.25">
      <c r="A10" s="105" t="s">
        <v>241</v>
      </c>
      <c r="B10" s="28"/>
      <c r="C10" s="844" t="s">
        <v>2201</v>
      </c>
      <c r="D10" s="15" t="s">
        <v>2200</v>
      </c>
      <c r="E10" s="15" t="s">
        <v>2045</v>
      </c>
    </row>
    <row r="11" spans="1:10" x14ac:dyDescent="0.25">
      <c r="A11" s="455" t="s">
        <v>242</v>
      </c>
      <c r="B11" s="15"/>
      <c r="C11" s="66">
        <f>'1-Facilities'!G66</f>
        <v>387331.93457032111</v>
      </c>
      <c r="D11" s="907">
        <v>387331.93457032111</v>
      </c>
      <c r="E11" s="820">
        <v>387331.93457032111</v>
      </c>
    </row>
    <row r="12" spans="1:10" x14ac:dyDescent="0.25">
      <c r="A12" s="455" t="s">
        <v>243</v>
      </c>
      <c r="B12" s="15"/>
      <c r="C12" s="66">
        <f>'2-Earthmoving'!S168</f>
        <v>38722618.94691021</v>
      </c>
      <c r="D12" s="907">
        <v>38722618.94691021</v>
      </c>
      <c r="E12" s="820">
        <v>44482238.688367084</v>
      </c>
    </row>
    <row r="13" spans="1:10" x14ac:dyDescent="0.25">
      <c r="A13" s="455" t="s">
        <v>244</v>
      </c>
      <c r="B13" s="15"/>
      <c r="C13" s="66">
        <f>'3-Revegetation'!H49</f>
        <v>2888366.6191326282</v>
      </c>
      <c r="D13" s="907">
        <v>2888366.6191326282</v>
      </c>
      <c r="E13" s="820">
        <v>3027534.0703781038</v>
      </c>
    </row>
    <row r="14" spans="1:10" x14ac:dyDescent="0.25">
      <c r="A14" s="455" t="s">
        <v>1963</v>
      </c>
      <c r="B14" s="15"/>
      <c r="C14" s="66">
        <f>'4-Other'!F93</f>
        <v>13864279.496203329</v>
      </c>
      <c r="D14" s="907">
        <v>13864279.496203329</v>
      </c>
      <c r="E14" s="820">
        <v>14061156.855340635</v>
      </c>
    </row>
    <row r="15" spans="1:10" x14ac:dyDescent="0.25">
      <c r="A15" s="455" t="s">
        <v>1964</v>
      </c>
      <c r="B15" s="15"/>
      <c r="C15" s="842">
        <f>'5-Long-Term'!F74</f>
        <v>1998566.9259364207</v>
      </c>
      <c r="D15" s="908">
        <v>1998566.9259364207</v>
      </c>
      <c r="E15" s="843">
        <v>3273908.542888077</v>
      </c>
    </row>
    <row r="16" spans="1:10" x14ac:dyDescent="0.25">
      <c r="A16" s="68" t="s">
        <v>246</v>
      </c>
      <c r="B16" s="70"/>
      <c r="C16" s="71">
        <f>SUM(C11:C15)</f>
        <v>57861163.922752909</v>
      </c>
      <c r="D16" s="909">
        <v>57861163.922752909</v>
      </c>
      <c r="E16" s="820">
        <v>65232170.091544218</v>
      </c>
    </row>
    <row r="17" spans="1:6" x14ac:dyDescent="0.25">
      <c r="C17" s="67"/>
      <c r="D17" s="21"/>
    </row>
    <row r="18" spans="1:6" x14ac:dyDescent="0.25">
      <c r="A18" s="68" t="s">
        <v>247</v>
      </c>
      <c r="B18" s="28"/>
      <c r="C18" s="849">
        <v>0.02</v>
      </c>
      <c r="D18" s="3" t="s">
        <v>1784</v>
      </c>
    </row>
    <row r="19" spans="1:6" x14ac:dyDescent="0.25">
      <c r="A19" s="455" t="s">
        <v>2191</v>
      </c>
      <c r="B19" s="646">
        <v>2.75E-2</v>
      </c>
      <c r="C19" s="847">
        <f>((C16)*(1+B19)^E19)-(C16)</f>
        <v>8405684.7735648975</v>
      </c>
      <c r="D19" s="909">
        <v>8405684.7735648975</v>
      </c>
      <c r="E19" s="1">
        <v>5</v>
      </c>
      <c r="F19" s="1" t="s">
        <v>248</v>
      </c>
    </row>
    <row r="20" spans="1:6" x14ac:dyDescent="0.25">
      <c r="A20" s="455" t="s">
        <v>249</v>
      </c>
      <c r="B20" s="625">
        <v>0.04</v>
      </c>
      <c r="C20" s="66">
        <f>($C$16+$C$19)*B20</f>
        <v>2650673.9478527121</v>
      </c>
      <c r="D20" s="909">
        <v>2650673.9478527121</v>
      </c>
      <c r="E20" s="519"/>
      <c r="F20" t="s">
        <v>250</v>
      </c>
    </row>
    <row r="21" spans="1:6" x14ac:dyDescent="0.25">
      <c r="A21" s="455" t="s">
        <v>251</v>
      </c>
      <c r="B21" s="626">
        <v>0.1</v>
      </c>
      <c r="C21" s="66">
        <f t="shared" ref="C21:C26" si="0">($C$16+$C$19)*B21</f>
        <v>6626684.8696317812</v>
      </c>
      <c r="D21" s="909">
        <v>6626684.8696317812</v>
      </c>
      <c r="E21" s="519"/>
      <c r="F21" t="s">
        <v>1942</v>
      </c>
    </row>
    <row r="22" spans="1:6" x14ac:dyDescent="0.25">
      <c r="A22" s="455" t="s">
        <v>252</v>
      </c>
      <c r="B22" s="625">
        <v>0.05</v>
      </c>
      <c r="C22" s="66">
        <f t="shared" si="0"/>
        <v>3313342.4348158906</v>
      </c>
      <c r="D22" s="909">
        <v>3313342.4348158906</v>
      </c>
      <c r="E22" s="519"/>
      <c r="F22" t="s">
        <v>253</v>
      </c>
    </row>
    <row r="23" spans="1:6" x14ac:dyDescent="0.25">
      <c r="A23" s="455" t="s">
        <v>254</v>
      </c>
      <c r="B23" s="627">
        <v>0.15</v>
      </c>
      <c r="C23" s="66">
        <f t="shared" si="0"/>
        <v>9940027.3044476714</v>
      </c>
      <c r="D23" s="909">
        <v>9940027.3044476714</v>
      </c>
      <c r="E23" s="520"/>
      <c r="F23" t="s">
        <v>255</v>
      </c>
    </row>
    <row r="24" spans="1:6" x14ac:dyDescent="0.25">
      <c r="A24" s="455" t="s">
        <v>256</v>
      </c>
      <c r="B24" s="627">
        <v>0.02</v>
      </c>
      <c r="C24" s="66">
        <f t="shared" si="0"/>
        <v>1325336.9739263561</v>
      </c>
      <c r="D24" s="909">
        <v>1325336.9739263561</v>
      </c>
      <c r="E24" s="520"/>
      <c r="F24" t="s">
        <v>257</v>
      </c>
    </row>
    <row r="25" spans="1:6" x14ac:dyDescent="0.25">
      <c r="A25" s="455" t="s">
        <v>258</v>
      </c>
      <c r="B25" s="627">
        <v>0</v>
      </c>
      <c r="C25" s="66">
        <f t="shared" si="0"/>
        <v>0</v>
      </c>
      <c r="D25" s="909">
        <v>0</v>
      </c>
      <c r="E25" s="520"/>
    </row>
    <row r="26" spans="1:6" x14ac:dyDescent="0.25">
      <c r="A26" s="455" t="s">
        <v>259</v>
      </c>
      <c r="B26" s="627">
        <v>0</v>
      </c>
      <c r="C26" s="66">
        <f t="shared" si="0"/>
        <v>0</v>
      </c>
      <c r="D26" s="909">
        <v>0</v>
      </c>
      <c r="E26" s="520"/>
    </row>
    <row r="27" spans="1:6" x14ac:dyDescent="0.25">
      <c r="A27" s="68" t="s">
        <v>260</v>
      </c>
      <c r="B27" s="28"/>
      <c r="C27" s="69">
        <f>SUM(C19:C26)</f>
        <v>32261750.30423931</v>
      </c>
      <c r="D27" s="910">
        <v>32261750.30423931</v>
      </c>
      <c r="E27" s="910">
        <v>39791371.214006156</v>
      </c>
    </row>
    <row r="28" spans="1:6" x14ac:dyDescent="0.25">
      <c r="D28" s="21"/>
      <c r="E28" s="21"/>
    </row>
    <row r="29" spans="1:6" x14ac:dyDescent="0.25">
      <c r="A29" s="68" t="s">
        <v>2189</v>
      </c>
      <c r="B29" s="28"/>
      <c r="C29" s="69">
        <f>'5-Long-Term'!F73</f>
        <v>16714870.820627067</v>
      </c>
      <c r="D29" s="910">
        <v>16714870.820627067</v>
      </c>
      <c r="E29" s="910">
        <v>17308932.844257038</v>
      </c>
    </row>
    <row r="30" spans="1:6" x14ac:dyDescent="0.25">
      <c r="A30" s="453" t="s">
        <v>2191</v>
      </c>
      <c r="B30" s="646"/>
      <c r="C30" s="848">
        <f>((C29)*(1+B19)^E19)-(C29)</f>
        <v>2428225.1794419922</v>
      </c>
      <c r="D30" s="911">
        <v>2428225.1794419922</v>
      </c>
      <c r="E30" s="21"/>
      <c r="F30" t="s">
        <v>2192</v>
      </c>
    </row>
    <row r="31" spans="1:6" x14ac:dyDescent="0.25">
      <c r="A31" s="841" t="s">
        <v>2190</v>
      </c>
      <c r="B31" s="2"/>
      <c r="C31" s="631"/>
      <c r="D31" s="21"/>
      <c r="E31" s="850"/>
    </row>
    <row r="32" spans="1:6" x14ac:dyDescent="0.25">
      <c r="A32" s="841"/>
      <c r="B32" s="2"/>
      <c r="C32" s="631"/>
      <c r="D32" s="21"/>
      <c r="E32" s="850"/>
    </row>
    <row r="33" spans="1:6" x14ac:dyDescent="0.25">
      <c r="A33" s="68" t="s">
        <v>1929</v>
      </c>
      <c r="B33" s="28"/>
      <c r="C33" s="69">
        <f>'1-Facilities'!G16</f>
        <v>879724.31295770872</v>
      </c>
      <c r="D33" s="850">
        <v>878370.5300620331</v>
      </c>
      <c r="E33" s="850">
        <v>878370.5300620331</v>
      </c>
      <c r="F33" s="218" t="s">
        <v>2203</v>
      </c>
    </row>
    <row r="34" spans="1:6" x14ac:dyDescent="0.25">
      <c r="B34" s="913" t="s">
        <v>2202</v>
      </c>
      <c r="C34" s="820">
        <f>C35-D35</f>
        <v>1353.7828956693411</v>
      </c>
      <c r="D34" s="21"/>
      <c r="E34" s="21"/>
    </row>
    <row r="35" spans="1:6" s="638" customFormat="1" ht="18.75" x14ac:dyDescent="0.3">
      <c r="A35" s="636" t="s">
        <v>261</v>
      </c>
      <c r="B35" s="637"/>
      <c r="C35" s="691">
        <f>SUM(C27,C29,C30,C16,C33)</f>
        <v>110145734.54001898</v>
      </c>
      <c r="D35" s="851">
        <v>110144380.75712331</v>
      </c>
      <c r="E35" s="851">
        <v>123210844.67986946</v>
      </c>
    </row>
    <row r="36" spans="1:6" x14ac:dyDescent="0.25">
      <c r="B36" s="681"/>
      <c r="C36" s="682"/>
      <c r="E36" s="853"/>
      <c r="F36" s="852"/>
    </row>
    <row r="37" spans="1:6" x14ac:dyDescent="0.25">
      <c r="B37" s="683"/>
      <c r="C37" s="707"/>
      <c r="E37" s="854"/>
      <c r="F37" s="852"/>
    </row>
    <row r="38" spans="1:6" x14ac:dyDescent="0.25">
      <c r="C38" s="217"/>
      <c r="D38" s="21"/>
      <c r="E38" s="21"/>
      <c r="F38" s="21"/>
    </row>
    <row r="39" spans="1:6" x14ac:dyDescent="0.25">
      <c r="A39" s="382" t="s">
        <v>262</v>
      </c>
      <c r="B39" s="689"/>
      <c r="C39" s="690">
        <v>116905203</v>
      </c>
      <c r="D39" s="912">
        <v>116905203</v>
      </c>
      <c r="E39" s="820">
        <v>116905202.94931555</v>
      </c>
    </row>
    <row r="40" spans="1:6" x14ac:dyDescent="0.25">
      <c r="A40" s="73" t="s">
        <v>263</v>
      </c>
      <c r="B40" s="77"/>
      <c r="C40" s="615">
        <v>116903653</v>
      </c>
      <c r="D40" s="912">
        <v>116903653</v>
      </c>
      <c r="E40" s="820">
        <f>E39-1551</f>
        <v>116903651.94931555</v>
      </c>
      <c r="F40" s="21" t="s">
        <v>2196</v>
      </c>
    </row>
    <row r="41" spans="1:6" x14ac:dyDescent="0.25">
      <c r="A41" s="73" t="s">
        <v>264</v>
      </c>
      <c r="B41" s="77"/>
      <c r="C41" s="615">
        <f>C39-C40</f>
        <v>1550</v>
      </c>
      <c r="D41" s="912">
        <v>1550</v>
      </c>
      <c r="E41" s="21">
        <v>1551</v>
      </c>
      <c r="F41" s="21" t="s">
        <v>2196</v>
      </c>
    </row>
    <row r="42" spans="1:6" x14ac:dyDescent="0.25">
      <c r="A42" s="49" t="s">
        <v>265</v>
      </c>
      <c r="B42" s="467"/>
      <c r="C42" s="64">
        <f>C35-C40-C41</f>
        <v>-6759468.4599810243</v>
      </c>
      <c r="D42" s="705">
        <v>-6760822.2428766936</v>
      </c>
      <c r="E42" s="705">
        <v>6305641.6798694581</v>
      </c>
      <c r="F42" s="274"/>
    </row>
    <row r="43" spans="1:6" x14ac:dyDescent="0.25">
      <c r="C43" s="33"/>
      <c r="D43" s="21"/>
      <c r="E43" s="21"/>
    </row>
    <row r="44" spans="1:6" x14ac:dyDescent="0.25">
      <c r="B44" s="225" t="s">
        <v>2204</v>
      </c>
      <c r="C44" s="820">
        <f>C40-C35</f>
        <v>6757918.4599810243</v>
      </c>
      <c r="D44" s="820"/>
      <c r="E44" s="21"/>
    </row>
    <row r="45" spans="1:6" x14ac:dyDescent="0.25">
      <c r="B45" s="225" t="s">
        <v>2205</v>
      </c>
      <c r="C45" s="217">
        <f>C39-C35</f>
        <v>6759468.4599810243</v>
      </c>
      <c r="D45" s="21"/>
      <c r="E45" s="21"/>
    </row>
    <row r="51" spans="1:9" x14ac:dyDescent="0.25">
      <c r="A51" s="407"/>
      <c r="I51" s="240"/>
    </row>
  </sheetData>
  <mergeCells count="5">
    <mergeCell ref="A4:E4"/>
    <mergeCell ref="A6:E6"/>
    <mergeCell ref="A1:E1"/>
    <mergeCell ref="A2:E2"/>
    <mergeCell ref="A3:E3"/>
  </mergeCells>
  <printOptions gridLines="1"/>
  <pageMargins left="0.25" right="0.25" top="0.75" bottom="0.75" header="0.3" footer="0.3"/>
  <pageSetup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A9D00-66FD-4083-A558-D0DF5905136C}">
  <sheetPr codeName="Sheet6">
    <tabColor rgb="FFFFC000"/>
    <pageSetUpPr fitToPage="1"/>
  </sheetPr>
  <dimension ref="A1:J128"/>
  <sheetViews>
    <sheetView zoomScale="70" zoomScaleNormal="70" workbookViewId="0">
      <selection activeCell="B18" sqref="B18"/>
    </sheetView>
  </sheetViews>
  <sheetFormatPr defaultColWidth="8.85546875" defaultRowHeight="15" x14ac:dyDescent="0.25"/>
  <cols>
    <col min="1" max="1" width="37.28515625" style="47" bestFit="1" customWidth="1"/>
    <col min="2" max="2" width="34.140625" style="47" bestFit="1" customWidth="1"/>
    <col min="3" max="3" width="17.28515625" style="47" customWidth="1"/>
    <col min="4" max="4" width="17.140625" style="47" bestFit="1" customWidth="1"/>
    <col min="5" max="5" width="18.28515625" style="47" bestFit="1" customWidth="1"/>
    <col min="6" max="6" width="21.140625" style="46" bestFit="1" customWidth="1"/>
    <col min="7" max="16384" width="8.85546875" style="46"/>
  </cols>
  <sheetData>
    <row r="1" spans="1:10" ht="18.75" customHeight="1" x14ac:dyDescent="0.3">
      <c r="A1" s="980" t="s">
        <v>1439</v>
      </c>
      <c r="B1" s="980"/>
      <c r="C1" s="980"/>
      <c r="D1" s="980"/>
      <c r="E1" s="145" t="s">
        <v>1015</v>
      </c>
      <c r="F1" s="472"/>
      <c r="G1" s="981" t="s">
        <v>1440</v>
      </c>
      <c r="H1" s="981"/>
      <c r="I1" s="981"/>
      <c r="J1"/>
    </row>
    <row r="2" spans="1:10" customFormat="1" ht="15.75" x14ac:dyDescent="0.25">
      <c r="A2" s="134" t="s">
        <v>1441</v>
      </c>
      <c r="B2" s="134" t="s">
        <v>1442</v>
      </c>
      <c r="C2" s="134" t="s">
        <v>1443</v>
      </c>
      <c r="D2" s="134" t="s">
        <v>1444</v>
      </c>
      <c r="E2" s="146" t="s">
        <v>1445</v>
      </c>
      <c r="F2" s="147"/>
      <c r="G2" s="135" t="s">
        <v>1446</v>
      </c>
      <c r="H2" s="135" t="s">
        <v>1447</v>
      </c>
      <c r="I2" s="133" t="s">
        <v>1448</v>
      </c>
    </row>
    <row r="3" spans="1:10" customFormat="1" x14ac:dyDescent="0.25">
      <c r="A3" s="463"/>
      <c r="B3" s="463"/>
      <c r="C3" s="463"/>
      <c r="D3" s="463"/>
      <c r="E3" s="145" t="s">
        <v>1015</v>
      </c>
      <c r="F3" s="162"/>
      <c r="G3" s="136" t="s">
        <v>1449</v>
      </c>
      <c r="H3" s="136" t="s">
        <v>1449</v>
      </c>
      <c r="I3" s="162" t="s">
        <v>1449</v>
      </c>
    </row>
    <row r="4" spans="1:10" customFormat="1" x14ac:dyDescent="0.25">
      <c r="A4" s="148" t="s">
        <v>1450</v>
      </c>
      <c r="B4" s="138" t="s">
        <v>1015</v>
      </c>
      <c r="C4" s="138" t="s">
        <v>1015</v>
      </c>
      <c r="D4" s="138" t="s">
        <v>1015</v>
      </c>
      <c r="E4" s="145" t="s">
        <v>1015</v>
      </c>
      <c r="F4" s="162"/>
      <c r="G4" s="137" t="s">
        <v>1015</v>
      </c>
      <c r="H4" s="137" t="s">
        <v>1015</v>
      </c>
      <c r="I4" s="137" t="s">
        <v>1015</v>
      </c>
    </row>
    <row r="5" spans="1:10" customFormat="1" x14ac:dyDescent="0.25">
      <c r="A5" s="463" t="s">
        <v>1451</v>
      </c>
      <c r="B5" s="463" t="s">
        <v>1452</v>
      </c>
      <c r="C5" s="463" t="s">
        <v>1453</v>
      </c>
      <c r="D5" s="463" t="s">
        <v>1454</v>
      </c>
      <c r="E5" s="149">
        <v>49.16</v>
      </c>
      <c r="F5" s="162"/>
      <c r="G5" s="136">
        <v>1.8</v>
      </c>
      <c r="H5" s="136">
        <v>2</v>
      </c>
      <c r="I5" s="162">
        <v>4</v>
      </c>
    </row>
    <row r="6" spans="1:10" customFormat="1" x14ac:dyDescent="0.25">
      <c r="A6" s="463" t="s">
        <v>1455</v>
      </c>
      <c r="B6" s="463" t="s">
        <v>1456</v>
      </c>
      <c r="C6" s="463" t="s">
        <v>1457</v>
      </c>
      <c r="D6" s="463" t="s">
        <v>1458</v>
      </c>
      <c r="E6" s="149">
        <v>97.76</v>
      </c>
      <c r="F6" s="162"/>
      <c r="G6" s="136">
        <v>3.9</v>
      </c>
      <c r="H6" s="136">
        <v>5.0999999999999996</v>
      </c>
      <c r="I6" s="162">
        <v>6.8</v>
      </c>
    </row>
    <row r="7" spans="1:10" customFormat="1" x14ac:dyDescent="0.25">
      <c r="A7" s="463" t="s">
        <v>1459</v>
      </c>
      <c r="B7" s="463" t="s">
        <v>1460</v>
      </c>
      <c r="C7" s="463" t="s">
        <v>1461</v>
      </c>
      <c r="D7" s="463" t="s">
        <v>1462</v>
      </c>
      <c r="E7" s="149">
        <v>92.68</v>
      </c>
      <c r="F7" s="162"/>
      <c r="G7" s="136">
        <v>5.9</v>
      </c>
      <c r="H7" s="136">
        <v>7.6</v>
      </c>
      <c r="I7" s="162">
        <v>9.4</v>
      </c>
    </row>
    <row r="8" spans="1:10" customFormat="1" x14ac:dyDescent="0.25">
      <c r="A8" s="463" t="s">
        <v>1463</v>
      </c>
      <c r="B8" s="463" t="s">
        <v>1464</v>
      </c>
      <c r="C8" s="463" t="s">
        <v>1465</v>
      </c>
      <c r="D8" s="463" t="s">
        <v>1466</v>
      </c>
      <c r="E8" s="149">
        <v>146.07</v>
      </c>
      <c r="F8" s="162"/>
      <c r="G8" s="136">
        <v>6.5</v>
      </c>
      <c r="H8" s="136">
        <v>8.1999999999999993</v>
      </c>
      <c r="I8" s="162">
        <v>9.9</v>
      </c>
    </row>
    <row r="9" spans="1:10" customFormat="1" x14ac:dyDescent="0.25">
      <c r="A9" s="463" t="s">
        <v>1467</v>
      </c>
      <c r="B9" s="463" t="s">
        <v>1468</v>
      </c>
      <c r="C9" s="463" t="s">
        <v>1469</v>
      </c>
      <c r="D9" s="463" t="s">
        <v>1470</v>
      </c>
      <c r="E9" s="149">
        <v>166.29</v>
      </c>
      <c r="F9" s="162"/>
      <c r="G9" s="136">
        <v>9.1</v>
      </c>
      <c r="H9" s="136">
        <v>11.7</v>
      </c>
      <c r="I9" s="162">
        <v>14.3</v>
      </c>
    </row>
    <row r="10" spans="1:10" customFormat="1" x14ac:dyDescent="0.25">
      <c r="A10" s="463" t="s">
        <v>1471</v>
      </c>
      <c r="B10" s="463" t="s">
        <v>1472</v>
      </c>
      <c r="C10" s="463" t="s">
        <v>1473</v>
      </c>
      <c r="D10" s="463" t="s">
        <v>1474</v>
      </c>
      <c r="E10" s="149">
        <v>312.43</v>
      </c>
      <c r="F10" s="162"/>
      <c r="G10" s="136">
        <v>14.9</v>
      </c>
      <c r="H10" s="136">
        <v>19.399999999999999</v>
      </c>
      <c r="I10" s="162">
        <v>23.9</v>
      </c>
    </row>
    <row r="11" spans="1:10" customFormat="1" x14ac:dyDescent="0.25">
      <c r="A11" s="463" t="s">
        <v>1475</v>
      </c>
      <c r="B11" s="463" t="s">
        <v>1476</v>
      </c>
      <c r="C11" s="463" t="s">
        <v>1477</v>
      </c>
      <c r="D11" s="463" t="s">
        <v>1478</v>
      </c>
      <c r="E11" s="149">
        <v>312.43</v>
      </c>
      <c r="F11" s="162"/>
      <c r="G11" s="136">
        <v>22.8</v>
      </c>
      <c r="H11" s="136">
        <v>29.6</v>
      </c>
      <c r="I11" s="162">
        <v>36.4</v>
      </c>
    </row>
    <row r="12" spans="1:10" customFormat="1" x14ac:dyDescent="0.25">
      <c r="A12" s="463"/>
      <c r="B12" s="463"/>
      <c r="C12" s="463"/>
      <c r="D12" s="463"/>
      <c r="E12" s="145" t="s">
        <v>1015</v>
      </c>
      <c r="F12" s="162"/>
      <c r="G12" s="136" t="s">
        <v>1015</v>
      </c>
      <c r="H12" s="136" t="s">
        <v>1015</v>
      </c>
      <c r="I12" s="162"/>
    </row>
    <row r="13" spans="1:10" customFormat="1" x14ac:dyDescent="0.25">
      <c r="A13" s="148" t="s">
        <v>1479</v>
      </c>
      <c r="B13" s="138" t="s">
        <v>1015</v>
      </c>
      <c r="C13" s="138" t="s">
        <v>1015</v>
      </c>
      <c r="D13" s="138" t="s">
        <v>1015</v>
      </c>
      <c r="E13" s="145" t="s">
        <v>1015</v>
      </c>
      <c r="F13" s="162"/>
      <c r="G13" s="137" t="s">
        <v>1015</v>
      </c>
      <c r="H13" s="137" t="s">
        <v>1015</v>
      </c>
      <c r="I13" s="137" t="s">
        <v>1015</v>
      </c>
    </row>
    <row r="14" spans="1:10" customFormat="1" x14ac:dyDescent="0.25">
      <c r="A14" s="463" t="s">
        <v>1480</v>
      </c>
      <c r="B14" s="463" t="s">
        <v>1481</v>
      </c>
      <c r="C14" s="463" t="s">
        <v>1482</v>
      </c>
      <c r="D14" s="463" t="s">
        <v>1483</v>
      </c>
      <c r="E14" s="149">
        <v>33.36</v>
      </c>
      <c r="F14" s="162"/>
      <c r="G14" s="136">
        <v>1.7</v>
      </c>
      <c r="H14" s="136">
        <v>2.5</v>
      </c>
      <c r="I14" s="162">
        <v>3.4</v>
      </c>
    </row>
    <row r="15" spans="1:10" customFormat="1" x14ac:dyDescent="0.25">
      <c r="A15" s="463" t="s">
        <v>1484</v>
      </c>
      <c r="B15" s="463" t="s">
        <v>1485</v>
      </c>
      <c r="C15" s="463" t="s">
        <v>1486</v>
      </c>
      <c r="D15" s="463" t="s">
        <v>1487</v>
      </c>
      <c r="E15" s="149">
        <v>56.34</v>
      </c>
      <c r="F15" s="162"/>
      <c r="G15" s="136">
        <v>3.5</v>
      </c>
      <c r="H15" s="136">
        <v>4.9000000000000004</v>
      </c>
      <c r="I15" s="162">
        <v>7</v>
      </c>
    </row>
    <row r="16" spans="1:10" customFormat="1" x14ac:dyDescent="0.25">
      <c r="A16" s="463" t="s">
        <v>1488</v>
      </c>
      <c r="B16" s="463" t="s">
        <v>1489</v>
      </c>
      <c r="C16" s="463" t="s">
        <v>1490</v>
      </c>
      <c r="D16" s="463" t="s">
        <v>1491</v>
      </c>
      <c r="E16" s="149">
        <v>79.760000000000005</v>
      </c>
      <c r="F16" s="162"/>
      <c r="G16" s="136">
        <v>3.8</v>
      </c>
      <c r="H16" s="136">
        <v>5.7</v>
      </c>
      <c r="I16" s="162">
        <v>7.7</v>
      </c>
    </row>
    <row r="17" spans="1:9" customFormat="1" x14ac:dyDescent="0.25">
      <c r="A17" s="463" t="s">
        <v>1492</v>
      </c>
      <c r="B17" s="463" t="s">
        <v>1493</v>
      </c>
      <c r="C17" s="463" t="s">
        <v>1494</v>
      </c>
      <c r="D17" s="463" t="s">
        <v>1495</v>
      </c>
      <c r="E17" s="149">
        <v>126.92</v>
      </c>
      <c r="F17" s="162"/>
      <c r="G17" s="136">
        <v>5.4</v>
      </c>
      <c r="H17" s="136">
        <v>8.1</v>
      </c>
      <c r="I17" s="162">
        <v>10.7</v>
      </c>
    </row>
    <row r="18" spans="1:9" customFormat="1" x14ac:dyDescent="0.25">
      <c r="A18" s="463" t="s">
        <v>1496</v>
      </c>
      <c r="B18" s="463" t="s">
        <v>1497</v>
      </c>
      <c r="C18" s="463" t="s">
        <v>1498</v>
      </c>
      <c r="D18" s="463" t="s">
        <v>1499</v>
      </c>
      <c r="E18" s="149">
        <v>182.35</v>
      </c>
      <c r="F18" s="162"/>
      <c r="G18" s="136" t="s">
        <v>1015</v>
      </c>
      <c r="H18" s="136" t="s">
        <v>1015</v>
      </c>
      <c r="I18" s="162"/>
    </row>
    <row r="19" spans="1:9" customFormat="1" x14ac:dyDescent="0.25">
      <c r="A19" s="463" t="s">
        <v>1500</v>
      </c>
      <c r="B19" s="463" t="s">
        <v>1501</v>
      </c>
      <c r="C19" s="463"/>
      <c r="D19" s="463" t="s">
        <v>1502</v>
      </c>
      <c r="E19" s="149">
        <v>248.51</v>
      </c>
      <c r="F19" s="162"/>
      <c r="G19" s="136">
        <v>12.2</v>
      </c>
      <c r="H19" s="136">
        <v>14.5</v>
      </c>
      <c r="I19" s="162">
        <v>18</v>
      </c>
    </row>
    <row r="20" spans="1:9" customFormat="1" x14ac:dyDescent="0.25">
      <c r="A20" s="463"/>
      <c r="B20" s="463"/>
      <c r="C20" s="463"/>
      <c r="D20" s="463"/>
      <c r="E20" s="145" t="s">
        <v>1015</v>
      </c>
      <c r="F20" s="162"/>
      <c r="G20" s="136" t="s">
        <v>1015</v>
      </c>
      <c r="H20" s="136" t="s">
        <v>1015</v>
      </c>
      <c r="I20" s="162"/>
    </row>
    <row r="21" spans="1:9" customFormat="1" x14ac:dyDescent="0.25">
      <c r="A21" s="148" t="s">
        <v>1503</v>
      </c>
      <c r="B21" s="138" t="s">
        <v>1015</v>
      </c>
      <c r="C21" s="138" t="s">
        <v>1015</v>
      </c>
      <c r="D21" s="138" t="s">
        <v>1015</v>
      </c>
      <c r="E21" s="145" t="s">
        <v>1015</v>
      </c>
      <c r="F21" s="162"/>
      <c r="G21" s="137" t="s">
        <v>1015</v>
      </c>
      <c r="H21" s="137" t="s">
        <v>1015</v>
      </c>
      <c r="I21" s="137" t="s">
        <v>1015</v>
      </c>
    </row>
    <row r="22" spans="1:9" customFormat="1" x14ac:dyDescent="0.25">
      <c r="A22" s="463" t="s">
        <v>1504</v>
      </c>
      <c r="B22" s="463" t="s">
        <v>1505</v>
      </c>
      <c r="C22" s="463" t="s">
        <v>1506</v>
      </c>
      <c r="D22" s="463" t="s">
        <v>1507</v>
      </c>
      <c r="E22" s="149">
        <v>22.33</v>
      </c>
      <c r="F22" s="162"/>
      <c r="G22" s="136">
        <v>2</v>
      </c>
      <c r="H22" s="136">
        <v>2.6</v>
      </c>
      <c r="I22" s="162">
        <v>3.2</v>
      </c>
    </row>
    <row r="23" spans="1:9" customFormat="1" x14ac:dyDescent="0.25">
      <c r="A23" s="463" t="s">
        <v>1508</v>
      </c>
      <c r="B23" s="463" t="s">
        <v>1509</v>
      </c>
      <c r="C23" s="463" t="s">
        <v>1510</v>
      </c>
      <c r="D23" s="463" t="s">
        <v>1511</v>
      </c>
      <c r="E23" s="149">
        <v>25.8</v>
      </c>
      <c r="F23" s="162"/>
      <c r="G23" s="136">
        <v>1</v>
      </c>
      <c r="H23" s="136">
        <v>1.5</v>
      </c>
      <c r="I23" s="162">
        <v>2.5</v>
      </c>
    </row>
    <row r="24" spans="1:9" customFormat="1" x14ac:dyDescent="0.25">
      <c r="A24" s="463" t="s">
        <v>1508</v>
      </c>
      <c r="B24" s="463" t="s">
        <v>1512</v>
      </c>
      <c r="C24" s="463" t="s">
        <v>1510</v>
      </c>
      <c r="D24" s="463" t="s">
        <v>1513</v>
      </c>
      <c r="E24" s="149">
        <v>30.08</v>
      </c>
      <c r="F24" s="162"/>
      <c r="G24" s="136">
        <v>1</v>
      </c>
      <c r="H24" s="136">
        <v>1.5</v>
      </c>
      <c r="I24" s="162">
        <v>2.5</v>
      </c>
    </row>
    <row r="25" spans="1:9" customFormat="1" x14ac:dyDescent="0.25">
      <c r="A25" s="463" t="s">
        <v>1514</v>
      </c>
      <c r="B25" s="463" t="s">
        <v>1515</v>
      </c>
      <c r="C25" s="463" t="s">
        <v>1516</v>
      </c>
      <c r="D25" s="463" t="s">
        <v>1517</v>
      </c>
      <c r="E25" s="149">
        <v>63.79</v>
      </c>
      <c r="F25" s="162"/>
      <c r="G25" s="136">
        <v>1.6</v>
      </c>
      <c r="H25" s="136">
        <v>2.5</v>
      </c>
      <c r="I25" s="162">
        <v>3.3</v>
      </c>
    </row>
    <row r="26" spans="1:9" customFormat="1" x14ac:dyDescent="0.25">
      <c r="A26" s="463" t="s">
        <v>1518</v>
      </c>
      <c r="B26" s="463" t="s">
        <v>1519</v>
      </c>
      <c r="C26" s="463" t="s">
        <v>1516</v>
      </c>
      <c r="D26" s="463" t="s">
        <v>1520</v>
      </c>
      <c r="E26" s="149">
        <v>85.01</v>
      </c>
      <c r="F26" s="162"/>
      <c r="G26" s="136">
        <v>2.7</v>
      </c>
      <c r="H26" s="136">
        <v>3.4</v>
      </c>
      <c r="I26" s="162">
        <v>4.3</v>
      </c>
    </row>
    <row r="27" spans="1:9" customFormat="1" x14ac:dyDescent="0.25">
      <c r="A27" s="463" t="s">
        <v>1521</v>
      </c>
      <c r="B27" s="463" t="s">
        <v>1522</v>
      </c>
      <c r="C27" s="463" t="s">
        <v>1523</v>
      </c>
      <c r="D27" s="463" t="s">
        <v>1524</v>
      </c>
      <c r="E27" s="149">
        <v>125.22</v>
      </c>
      <c r="F27" s="162"/>
      <c r="G27" s="136">
        <v>4.9000000000000004</v>
      </c>
      <c r="H27" s="136">
        <v>6</v>
      </c>
      <c r="I27" s="162">
        <v>7.6</v>
      </c>
    </row>
    <row r="28" spans="1:9" customFormat="1" x14ac:dyDescent="0.25">
      <c r="A28" s="463" t="s">
        <v>1525</v>
      </c>
      <c r="B28" s="463" t="s">
        <v>1526</v>
      </c>
      <c r="C28" s="463" t="s">
        <v>1527</v>
      </c>
      <c r="D28" s="463" t="s">
        <v>1528</v>
      </c>
      <c r="E28" s="149">
        <v>208</v>
      </c>
      <c r="F28" s="162"/>
      <c r="G28" s="136">
        <v>9</v>
      </c>
      <c r="H28" s="136">
        <v>11.8</v>
      </c>
      <c r="I28" s="162">
        <v>14.6</v>
      </c>
    </row>
    <row r="29" spans="1:9" customFormat="1" x14ac:dyDescent="0.25">
      <c r="A29" s="463" t="s">
        <v>1529</v>
      </c>
      <c r="B29" s="463" t="s">
        <v>1530</v>
      </c>
      <c r="C29" s="463" t="s">
        <v>1531</v>
      </c>
      <c r="D29" s="463" t="s">
        <v>1532</v>
      </c>
      <c r="E29" s="149">
        <v>301.52999999999997</v>
      </c>
      <c r="F29" s="162"/>
      <c r="G29" s="136">
        <v>15.4</v>
      </c>
      <c r="H29" s="136">
        <v>19.8</v>
      </c>
      <c r="I29" s="162">
        <v>24.2</v>
      </c>
    </row>
    <row r="30" spans="1:9" customFormat="1" x14ac:dyDescent="0.25">
      <c r="A30" s="463" t="s">
        <v>1533</v>
      </c>
      <c r="B30" s="463" t="s">
        <v>1534</v>
      </c>
      <c r="C30" s="463" t="s">
        <v>1535</v>
      </c>
      <c r="D30" s="463" t="s">
        <v>1536</v>
      </c>
      <c r="E30" s="149">
        <v>1315.95</v>
      </c>
      <c r="F30" s="162"/>
      <c r="G30" s="136" t="s">
        <v>1015</v>
      </c>
      <c r="H30" s="136" t="s">
        <v>1015</v>
      </c>
      <c r="I30" s="162"/>
    </row>
    <row r="31" spans="1:9" customFormat="1" x14ac:dyDescent="0.25">
      <c r="A31" s="463"/>
      <c r="B31" s="463"/>
      <c r="C31" s="463"/>
      <c r="D31" s="463"/>
      <c r="E31" s="145" t="s">
        <v>1015</v>
      </c>
      <c r="F31" s="162"/>
      <c r="G31" s="136" t="s">
        <v>1015</v>
      </c>
      <c r="H31" s="136" t="s">
        <v>1015</v>
      </c>
      <c r="I31" s="162"/>
    </row>
    <row r="32" spans="1:9" customFormat="1" x14ac:dyDescent="0.25">
      <c r="A32" s="148" t="s">
        <v>1537</v>
      </c>
      <c r="B32" s="138" t="s">
        <v>1015</v>
      </c>
      <c r="C32" s="138" t="s">
        <v>1015</v>
      </c>
      <c r="D32" s="138" t="s">
        <v>1015</v>
      </c>
      <c r="E32" s="145" t="s">
        <v>1015</v>
      </c>
      <c r="F32" s="162"/>
      <c r="G32" s="137" t="s">
        <v>1015</v>
      </c>
      <c r="H32" s="137" t="s">
        <v>1015</v>
      </c>
      <c r="I32" s="137" t="s">
        <v>1015</v>
      </c>
    </row>
    <row r="33" spans="1:9" customFormat="1" x14ac:dyDescent="0.25">
      <c r="A33" s="463" t="s">
        <v>1538</v>
      </c>
      <c r="B33" s="463" t="s">
        <v>1539</v>
      </c>
      <c r="C33" s="463" t="s">
        <v>1540</v>
      </c>
      <c r="D33" s="463" t="s">
        <v>1541</v>
      </c>
      <c r="E33" s="149">
        <v>185.83</v>
      </c>
      <c r="F33" s="162"/>
      <c r="G33" s="136">
        <v>11.4</v>
      </c>
      <c r="H33" s="136">
        <v>14.4</v>
      </c>
      <c r="I33" s="162">
        <v>18</v>
      </c>
    </row>
    <row r="34" spans="1:9" customFormat="1" x14ac:dyDescent="0.25">
      <c r="A34" s="463" t="s">
        <v>1538</v>
      </c>
      <c r="B34" s="463" t="s">
        <v>1542</v>
      </c>
      <c r="C34" s="463" t="s">
        <v>1543</v>
      </c>
      <c r="D34" s="463" t="s">
        <v>1544</v>
      </c>
      <c r="E34" s="149">
        <v>198.69</v>
      </c>
      <c r="F34" s="162"/>
      <c r="G34" s="136">
        <v>16.3</v>
      </c>
      <c r="H34" s="136">
        <v>21.5</v>
      </c>
      <c r="I34" s="162">
        <v>28.2</v>
      </c>
    </row>
    <row r="35" spans="1:9" customFormat="1" x14ac:dyDescent="0.25">
      <c r="A35" s="463" t="s">
        <v>1545</v>
      </c>
      <c r="B35" s="463" t="s">
        <v>1546</v>
      </c>
      <c r="C35" s="463" t="s">
        <v>1547</v>
      </c>
      <c r="D35" s="463" t="s">
        <v>1548</v>
      </c>
      <c r="E35" s="149">
        <v>250.9</v>
      </c>
      <c r="F35" s="162"/>
      <c r="G35" s="136">
        <v>12.3</v>
      </c>
      <c r="H35" s="136">
        <v>15.9</v>
      </c>
      <c r="I35" s="162">
        <v>21</v>
      </c>
    </row>
    <row r="36" spans="1:9" customFormat="1" x14ac:dyDescent="0.25">
      <c r="A36" s="463" t="s">
        <v>1549</v>
      </c>
      <c r="B36" s="463" t="s">
        <v>1550</v>
      </c>
      <c r="C36" s="463" t="s">
        <v>1547</v>
      </c>
      <c r="D36" s="463" t="s">
        <v>1551</v>
      </c>
      <c r="E36" s="149">
        <v>318.85000000000002</v>
      </c>
      <c r="F36" s="162"/>
      <c r="G36" s="136">
        <v>19</v>
      </c>
      <c r="H36" s="136">
        <v>25.1</v>
      </c>
      <c r="I36" s="162">
        <v>32.799999999999997</v>
      </c>
    </row>
    <row r="37" spans="1:9" customFormat="1" x14ac:dyDescent="0.25">
      <c r="A37" s="463"/>
      <c r="B37" s="463"/>
      <c r="C37" s="463"/>
      <c r="D37" s="463"/>
      <c r="E37" s="145" t="s">
        <v>1015</v>
      </c>
      <c r="F37" s="162"/>
      <c r="G37" s="136" t="s">
        <v>1015</v>
      </c>
      <c r="H37" s="136" t="s">
        <v>1015</v>
      </c>
      <c r="I37" s="162"/>
    </row>
    <row r="38" spans="1:9" customFormat="1" x14ac:dyDescent="0.25">
      <c r="A38" s="148" t="s">
        <v>1552</v>
      </c>
      <c r="B38" s="138" t="s">
        <v>1015</v>
      </c>
      <c r="C38" s="138" t="s">
        <v>1015</v>
      </c>
      <c r="D38" s="138" t="s">
        <v>1015</v>
      </c>
      <c r="E38" s="145" t="s">
        <v>1015</v>
      </c>
      <c r="F38" s="162"/>
      <c r="G38" s="137" t="s">
        <v>1015</v>
      </c>
      <c r="H38" s="137" t="s">
        <v>1015</v>
      </c>
      <c r="I38" s="137" t="s">
        <v>1015</v>
      </c>
    </row>
    <row r="39" spans="1:9" customFormat="1" x14ac:dyDescent="0.25">
      <c r="A39" s="463" t="s">
        <v>1553</v>
      </c>
      <c r="B39" s="463" t="s">
        <v>1554</v>
      </c>
      <c r="C39" s="463" t="s">
        <v>1555</v>
      </c>
      <c r="D39" s="463" t="s">
        <v>1556</v>
      </c>
      <c r="E39" s="149">
        <v>347.87</v>
      </c>
      <c r="F39" s="162"/>
      <c r="G39" s="136" t="s">
        <v>1015</v>
      </c>
      <c r="H39" s="136" t="s">
        <v>1015</v>
      </c>
      <c r="I39" s="162"/>
    </row>
    <row r="40" spans="1:9" customFormat="1" x14ac:dyDescent="0.25">
      <c r="A40" s="463" t="s">
        <v>1557</v>
      </c>
      <c r="B40" s="463" t="s">
        <v>1558</v>
      </c>
      <c r="C40" s="463" t="s">
        <v>1559</v>
      </c>
      <c r="D40" s="463" t="s">
        <v>1560</v>
      </c>
      <c r="E40" s="149">
        <v>2042.75</v>
      </c>
      <c r="F40" s="162"/>
      <c r="G40" s="136" t="s">
        <v>1015</v>
      </c>
      <c r="H40" s="136" t="s">
        <v>1015</v>
      </c>
      <c r="I40" s="162"/>
    </row>
    <row r="41" spans="1:9" customFormat="1" x14ac:dyDescent="0.25">
      <c r="A41" s="463" t="s">
        <v>1561</v>
      </c>
      <c r="B41" s="463" t="s">
        <v>1562</v>
      </c>
      <c r="C41" s="463"/>
      <c r="D41" s="463" t="s">
        <v>1563</v>
      </c>
      <c r="E41" s="169">
        <f>351.6+307.14+10.75</f>
        <v>669.49</v>
      </c>
      <c r="F41" s="162" t="s">
        <v>1564</v>
      </c>
      <c r="G41" s="136" t="s">
        <v>1015</v>
      </c>
      <c r="H41" s="136" t="s">
        <v>1015</v>
      </c>
      <c r="I41" s="162"/>
    </row>
    <row r="42" spans="1:9" customFormat="1" x14ac:dyDescent="0.25">
      <c r="A42" s="148" t="s">
        <v>1565</v>
      </c>
      <c r="B42" s="138" t="s">
        <v>1015</v>
      </c>
      <c r="C42" s="138" t="s">
        <v>1015</v>
      </c>
      <c r="D42" s="138" t="s">
        <v>1015</v>
      </c>
      <c r="E42" s="145" t="s">
        <v>1015</v>
      </c>
      <c r="F42" s="162"/>
      <c r="G42" s="137" t="s">
        <v>1015</v>
      </c>
      <c r="H42" s="137" t="s">
        <v>1015</v>
      </c>
      <c r="I42" s="137" t="s">
        <v>1015</v>
      </c>
    </row>
    <row r="43" spans="1:9" customFormat="1" x14ac:dyDescent="0.25">
      <c r="A43" s="463" t="s">
        <v>1566</v>
      </c>
      <c r="B43" s="463" t="s">
        <v>1567</v>
      </c>
      <c r="C43" s="463" t="s">
        <v>1568</v>
      </c>
      <c r="D43" s="463" t="s">
        <v>1569</v>
      </c>
      <c r="E43" s="149">
        <v>89.6</v>
      </c>
      <c r="F43" s="162"/>
      <c r="G43" s="136">
        <v>3.1</v>
      </c>
      <c r="H43" s="136">
        <v>4.4000000000000004</v>
      </c>
      <c r="I43" s="162">
        <v>5.7</v>
      </c>
    </row>
    <row r="44" spans="1:9" customFormat="1" x14ac:dyDescent="0.25">
      <c r="A44" s="463" t="s">
        <v>1570</v>
      </c>
      <c r="B44" s="463" t="s">
        <v>1571</v>
      </c>
      <c r="C44" s="463" t="s">
        <v>1568</v>
      </c>
      <c r="D44" s="463" t="s">
        <v>1572</v>
      </c>
      <c r="E44" s="149">
        <v>119.38</v>
      </c>
      <c r="F44" s="162"/>
      <c r="G44" s="136">
        <v>4</v>
      </c>
      <c r="H44" s="136">
        <v>5.9</v>
      </c>
      <c r="I44" s="162">
        <v>8.1</v>
      </c>
    </row>
    <row r="45" spans="1:9" customFormat="1" x14ac:dyDescent="0.25">
      <c r="A45" s="463" t="s">
        <v>1573</v>
      </c>
      <c r="B45" s="463" t="s">
        <v>1515</v>
      </c>
      <c r="C45" s="463" t="s">
        <v>1574</v>
      </c>
      <c r="D45" s="463" t="s">
        <v>1575</v>
      </c>
      <c r="E45" s="149">
        <v>187.29</v>
      </c>
      <c r="F45" s="162"/>
      <c r="G45" s="136">
        <v>5.0999999999999996</v>
      </c>
      <c r="H45" s="136">
        <v>8.1</v>
      </c>
      <c r="I45" s="162">
        <v>11.1</v>
      </c>
    </row>
    <row r="46" spans="1:9" customFormat="1" x14ac:dyDescent="0.25">
      <c r="A46" s="463"/>
      <c r="B46" s="463"/>
      <c r="C46" s="463"/>
      <c r="D46" s="463"/>
      <c r="E46" s="145" t="s">
        <v>1015</v>
      </c>
      <c r="F46" s="162"/>
      <c r="G46" s="136" t="s">
        <v>1015</v>
      </c>
      <c r="H46" s="136" t="s">
        <v>1015</v>
      </c>
      <c r="I46" s="162"/>
    </row>
    <row r="47" spans="1:9" customFormat="1" x14ac:dyDescent="0.25">
      <c r="A47" s="148" t="s">
        <v>1576</v>
      </c>
      <c r="B47" s="148"/>
      <c r="C47" s="138" t="s">
        <v>1015</v>
      </c>
      <c r="D47" s="138" t="s">
        <v>1015</v>
      </c>
      <c r="E47" s="145" t="s">
        <v>1015</v>
      </c>
      <c r="F47" s="162"/>
      <c r="G47" s="137" t="s">
        <v>1015</v>
      </c>
      <c r="H47" s="137" t="s">
        <v>1015</v>
      </c>
      <c r="I47" s="137" t="s">
        <v>1015</v>
      </c>
    </row>
    <row r="48" spans="1:9" customFormat="1" x14ac:dyDescent="0.25">
      <c r="A48" s="463" t="s">
        <v>1577</v>
      </c>
      <c r="B48" s="463" t="s">
        <v>1578</v>
      </c>
      <c r="C48" s="463" t="s">
        <v>1579</v>
      </c>
      <c r="D48" s="463" t="s">
        <v>1580</v>
      </c>
      <c r="E48" s="149">
        <v>53.12</v>
      </c>
      <c r="F48" s="162"/>
      <c r="G48" s="136">
        <v>3.9</v>
      </c>
      <c r="H48" s="136">
        <v>6.2</v>
      </c>
      <c r="I48" s="162">
        <v>7.8</v>
      </c>
    </row>
    <row r="49" spans="1:9" customFormat="1" x14ac:dyDescent="0.25">
      <c r="A49" s="463" t="s">
        <v>1581</v>
      </c>
      <c r="B49" s="463" t="s">
        <v>1582</v>
      </c>
      <c r="C49" s="463" t="s">
        <v>1583</v>
      </c>
      <c r="D49" s="463" t="s">
        <v>1584</v>
      </c>
      <c r="E49" s="149">
        <v>62.53</v>
      </c>
      <c r="F49" s="162"/>
      <c r="G49" s="136">
        <v>4.0999999999999996</v>
      </c>
      <c r="H49" s="136">
        <v>6.6</v>
      </c>
      <c r="I49" s="162">
        <v>8.1999999999999993</v>
      </c>
    </row>
    <row r="50" spans="1:9" customFormat="1" x14ac:dyDescent="0.25">
      <c r="A50" s="463" t="s">
        <v>1585</v>
      </c>
      <c r="B50" s="463" t="s">
        <v>1586</v>
      </c>
      <c r="C50" s="463" t="s">
        <v>1587</v>
      </c>
      <c r="D50" s="463" t="s">
        <v>1588</v>
      </c>
      <c r="E50" s="149">
        <v>77.89</v>
      </c>
      <c r="F50" s="162"/>
      <c r="G50" s="136">
        <v>6</v>
      </c>
      <c r="H50" s="136">
        <v>9.5</v>
      </c>
      <c r="I50" s="162">
        <v>11.9</v>
      </c>
    </row>
    <row r="51" spans="1:9" customFormat="1" x14ac:dyDescent="0.25">
      <c r="A51" s="463"/>
      <c r="B51" s="463"/>
      <c r="C51" s="463"/>
      <c r="D51" s="463"/>
      <c r="E51" s="145" t="s">
        <v>1015</v>
      </c>
      <c r="F51" s="162"/>
      <c r="G51" s="136" t="s">
        <v>1015</v>
      </c>
      <c r="H51" s="136" t="s">
        <v>1015</v>
      </c>
      <c r="I51" s="162"/>
    </row>
    <row r="52" spans="1:9" customFormat="1" x14ac:dyDescent="0.25">
      <c r="A52" s="148" t="s">
        <v>1589</v>
      </c>
      <c r="B52" s="138" t="s">
        <v>1015</v>
      </c>
      <c r="C52" s="138" t="s">
        <v>1015</v>
      </c>
      <c r="D52" s="138" t="s">
        <v>1015</v>
      </c>
      <c r="E52" s="145" t="s">
        <v>1015</v>
      </c>
      <c r="F52" s="162"/>
      <c r="G52" s="137" t="s">
        <v>1015</v>
      </c>
      <c r="H52" s="137" t="s">
        <v>1015</v>
      </c>
      <c r="I52" s="137" t="s">
        <v>1015</v>
      </c>
    </row>
    <row r="53" spans="1:9" customFormat="1" x14ac:dyDescent="0.25">
      <c r="A53" s="463" t="s">
        <v>1590</v>
      </c>
      <c r="B53" s="463" t="s">
        <v>1591</v>
      </c>
      <c r="C53" s="463" t="s">
        <v>1592</v>
      </c>
      <c r="D53" s="463" t="s">
        <v>1593</v>
      </c>
      <c r="E53" s="149">
        <v>90.54</v>
      </c>
      <c r="F53" s="162"/>
      <c r="G53" s="136">
        <v>4.3</v>
      </c>
      <c r="H53" s="136">
        <v>5.6</v>
      </c>
      <c r="I53" s="162">
        <v>7.1</v>
      </c>
    </row>
    <row r="54" spans="1:9" customFormat="1" x14ac:dyDescent="0.25">
      <c r="A54" s="463" t="s">
        <v>1594</v>
      </c>
      <c r="B54" s="463" t="s">
        <v>1595</v>
      </c>
      <c r="C54" s="463" t="s">
        <v>1596</v>
      </c>
      <c r="D54" s="463" t="s">
        <v>1597</v>
      </c>
      <c r="E54" s="149">
        <v>102.22</v>
      </c>
      <c r="F54" s="162"/>
      <c r="G54" s="136">
        <v>4.7</v>
      </c>
      <c r="H54" s="136">
        <v>6.3</v>
      </c>
      <c r="I54" s="162">
        <v>8.4</v>
      </c>
    </row>
    <row r="55" spans="1:9" customFormat="1" x14ac:dyDescent="0.25">
      <c r="A55" s="463" t="s">
        <v>1598</v>
      </c>
      <c r="B55" s="463" t="s">
        <v>1599</v>
      </c>
      <c r="C55" s="463" t="s">
        <v>1596</v>
      </c>
      <c r="D55" s="463" t="s">
        <v>1600</v>
      </c>
      <c r="E55" s="149">
        <v>125.19</v>
      </c>
      <c r="F55" s="162"/>
      <c r="G55" s="136">
        <v>7.3</v>
      </c>
      <c r="H55" s="136">
        <v>9.1999999999999993</v>
      </c>
      <c r="I55" s="162">
        <v>11.3</v>
      </c>
    </row>
    <row r="56" spans="1:9" customFormat="1" x14ac:dyDescent="0.25">
      <c r="A56" s="463" t="s">
        <v>1601</v>
      </c>
      <c r="B56" s="463" t="s">
        <v>1602</v>
      </c>
      <c r="C56" s="463" t="s">
        <v>1603</v>
      </c>
      <c r="D56" s="463" t="s">
        <v>1604</v>
      </c>
      <c r="E56" s="149">
        <v>124.62</v>
      </c>
      <c r="F56" s="162"/>
      <c r="G56" s="136">
        <v>7.5</v>
      </c>
      <c r="H56" s="136">
        <v>9.4</v>
      </c>
      <c r="I56" s="162">
        <v>12.3</v>
      </c>
    </row>
    <row r="57" spans="1:9" customFormat="1" x14ac:dyDescent="0.25">
      <c r="A57" s="463" t="s">
        <v>1605</v>
      </c>
      <c r="B57" s="463" t="s">
        <v>1606</v>
      </c>
      <c r="C57" s="463" t="s">
        <v>1607</v>
      </c>
      <c r="D57" s="463" t="s">
        <v>1608</v>
      </c>
      <c r="E57" s="149">
        <v>195.9</v>
      </c>
      <c r="F57" s="162"/>
      <c r="G57" s="136">
        <v>12.1</v>
      </c>
      <c r="H57" s="136">
        <v>15</v>
      </c>
      <c r="I57" s="162">
        <v>19</v>
      </c>
    </row>
    <row r="58" spans="1:9" customFormat="1" x14ac:dyDescent="0.25">
      <c r="A58" s="463" t="s">
        <v>1609</v>
      </c>
      <c r="B58" s="463" t="s">
        <v>1610</v>
      </c>
      <c r="C58" s="463" t="s">
        <v>1611</v>
      </c>
      <c r="D58" s="463" t="s">
        <v>1612</v>
      </c>
      <c r="E58" s="149">
        <v>539.58000000000004</v>
      </c>
      <c r="F58" s="162"/>
      <c r="G58" s="136" t="s">
        <v>1015</v>
      </c>
      <c r="H58" s="136" t="s">
        <v>1015</v>
      </c>
      <c r="I58" s="162"/>
    </row>
    <row r="59" spans="1:9" customFormat="1" x14ac:dyDescent="0.25">
      <c r="A59" s="463" t="s">
        <v>1613</v>
      </c>
      <c r="B59" s="463" t="s">
        <v>1614</v>
      </c>
      <c r="C59" s="463" t="s">
        <v>1615</v>
      </c>
      <c r="D59" s="463" t="s">
        <v>1616</v>
      </c>
      <c r="E59" s="149">
        <v>313.23</v>
      </c>
      <c r="F59" s="162"/>
      <c r="G59" s="136" t="s">
        <v>1015</v>
      </c>
      <c r="H59" s="136" t="s">
        <v>1015</v>
      </c>
      <c r="I59" s="162"/>
    </row>
    <row r="60" spans="1:9" customFormat="1" x14ac:dyDescent="0.25">
      <c r="A60" s="463"/>
      <c r="B60" s="463"/>
      <c r="C60" s="463"/>
      <c r="D60" s="463"/>
      <c r="E60" s="145" t="s">
        <v>1015</v>
      </c>
      <c r="F60" s="162"/>
      <c r="G60" s="136" t="s">
        <v>1015</v>
      </c>
      <c r="H60" s="136" t="s">
        <v>1015</v>
      </c>
      <c r="I60" s="162"/>
    </row>
    <row r="61" spans="1:9" customFormat="1" x14ac:dyDescent="0.25">
      <c r="A61" s="148" t="s">
        <v>1617</v>
      </c>
      <c r="B61" s="138" t="s">
        <v>1015</v>
      </c>
      <c r="C61" s="138" t="s">
        <v>1015</v>
      </c>
      <c r="D61" s="138" t="s">
        <v>1015</v>
      </c>
      <c r="E61" s="145" t="s">
        <v>1015</v>
      </c>
      <c r="F61" s="162"/>
      <c r="G61" s="137" t="s">
        <v>1015</v>
      </c>
      <c r="H61" s="137" t="s">
        <v>1015</v>
      </c>
      <c r="I61" s="137" t="s">
        <v>1015</v>
      </c>
    </row>
    <row r="62" spans="1:9" customFormat="1" x14ac:dyDescent="0.25">
      <c r="A62" s="463" t="s">
        <v>1618</v>
      </c>
      <c r="B62" s="463" t="s">
        <v>1619</v>
      </c>
      <c r="C62" s="463" t="s">
        <v>1620</v>
      </c>
      <c r="D62" s="463" t="s">
        <v>1621</v>
      </c>
      <c r="E62" s="149">
        <v>52.62</v>
      </c>
      <c r="F62" s="162"/>
      <c r="G62" s="136" t="s">
        <v>1015</v>
      </c>
      <c r="H62" s="136" t="s">
        <v>1015</v>
      </c>
      <c r="I62" s="162"/>
    </row>
    <row r="63" spans="1:9" customFormat="1" x14ac:dyDescent="0.25">
      <c r="A63" s="463" t="s">
        <v>1622</v>
      </c>
      <c r="B63" s="463" t="s">
        <v>1623</v>
      </c>
      <c r="C63" s="463" t="s">
        <v>1620</v>
      </c>
      <c r="D63" s="463" t="s">
        <v>1624</v>
      </c>
      <c r="E63" s="149">
        <v>59.33</v>
      </c>
      <c r="F63" s="162"/>
      <c r="G63" s="136" t="s">
        <v>1015</v>
      </c>
      <c r="H63" s="136" t="s">
        <v>1015</v>
      </c>
      <c r="I63" s="162"/>
    </row>
    <row r="64" spans="1:9" customFormat="1" x14ac:dyDescent="0.25">
      <c r="A64" s="463" t="s">
        <v>1625</v>
      </c>
      <c r="B64" s="463" t="s">
        <v>1626</v>
      </c>
      <c r="C64" s="463" t="s">
        <v>1627</v>
      </c>
      <c r="D64" s="463" t="s">
        <v>1628</v>
      </c>
      <c r="E64" s="149">
        <v>39.76</v>
      </c>
      <c r="F64" s="162"/>
      <c r="G64" s="136" t="s">
        <v>1015</v>
      </c>
      <c r="H64" s="136" t="s">
        <v>1015</v>
      </c>
      <c r="I64" s="162"/>
    </row>
    <row r="65" spans="1:9" customFormat="1" x14ac:dyDescent="0.25">
      <c r="A65" s="463"/>
      <c r="B65" s="463"/>
      <c r="C65" s="463"/>
      <c r="D65" s="463"/>
      <c r="E65" s="145" t="s">
        <v>1015</v>
      </c>
      <c r="F65" s="162"/>
      <c r="G65" s="136" t="s">
        <v>1015</v>
      </c>
      <c r="H65" s="136" t="s">
        <v>1015</v>
      </c>
      <c r="I65" s="162"/>
    </row>
    <row r="66" spans="1:9" customFormat="1" x14ac:dyDescent="0.25">
      <c r="A66" s="148" t="s">
        <v>1629</v>
      </c>
      <c r="B66" s="138" t="s">
        <v>1015</v>
      </c>
      <c r="C66" s="138" t="s">
        <v>1015</v>
      </c>
      <c r="D66" s="138" t="s">
        <v>1015</v>
      </c>
      <c r="E66" s="145" t="s">
        <v>1015</v>
      </c>
      <c r="F66" s="162"/>
      <c r="G66" s="137" t="s">
        <v>1015</v>
      </c>
      <c r="H66" s="137" t="s">
        <v>1015</v>
      </c>
      <c r="I66" s="137" t="s">
        <v>1015</v>
      </c>
    </row>
    <row r="67" spans="1:9" customFormat="1" x14ac:dyDescent="0.25">
      <c r="A67" s="463" t="s">
        <v>1630</v>
      </c>
      <c r="B67" s="463" t="s">
        <v>1631</v>
      </c>
      <c r="C67" s="463" t="s">
        <v>1632</v>
      </c>
      <c r="D67" s="463" t="s">
        <v>1633</v>
      </c>
      <c r="E67" s="149">
        <v>50.46</v>
      </c>
      <c r="F67" s="162"/>
      <c r="G67" s="136" t="s">
        <v>1015</v>
      </c>
      <c r="H67" s="136" t="s">
        <v>1015</v>
      </c>
      <c r="I67" s="162"/>
    </row>
    <row r="68" spans="1:9" customFormat="1" x14ac:dyDescent="0.25">
      <c r="A68" s="463" t="s">
        <v>1634</v>
      </c>
      <c r="B68" s="463" t="s">
        <v>1635</v>
      </c>
      <c r="C68" s="463" t="s">
        <v>1636</v>
      </c>
      <c r="D68" s="463" t="s">
        <v>1637</v>
      </c>
      <c r="E68" s="149">
        <v>64.59</v>
      </c>
      <c r="F68" s="162"/>
      <c r="G68" s="136" t="s">
        <v>1015</v>
      </c>
      <c r="H68" s="136" t="s">
        <v>1015</v>
      </c>
      <c r="I68" s="162"/>
    </row>
    <row r="69" spans="1:9" customFormat="1" x14ac:dyDescent="0.25">
      <c r="A69" s="463"/>
      <c r="B69" s="463"/>
      <c r="C69" s="463"/>
      <c r="D69" s="463"/>
      <c r="E69" s="145" t="s">
        <v>1015</v>
      </c>
      <c r="F69" s="162"/>
      <c r="G69" s="136" t="s">
        <v>1015</v>
      </c>
      <c r="H69" s="136" t="s">
        <v>1015</v>
      </c>
      <c r="I69" s="162"/>
    </row>
    <row r="70" spans="1:9" customFormat="1" x14ac:dyDescent="0.25">
      <c r="A70" s="148" t="s">
        <v>1638</v>
      </c>
      <c r="B70" s="138" t="s">
        <v>1015</v>
      </c>
      <c r="C70" s="138" t="s">
        <v>1015</v>
      </c>
      <c r="D70" s="138" t="s">
        <v>1015</v>
      </c>
      <c r="E70" s="145" t="s">
        <v>1015</v>
      </c>
      <c r="F70" s="162"/>
      <c r="G70" s="137" t="s">
        <v>1015</v>
      </c>
      <c r="H70" s="137" t="s">
        <v>1015</v>
      </c>
      <c r="I70" s="137" t="s">
        <v>1015</v>
      </c>
    </row>
    <row r="71" spans="1:9" customFormat="1" x14ac:dyDescent="0.25">
      <c r="A71" s="463" t="s">
        <v>1639</v>
      </c>
      <c r="B71" s="463" t="s">
        <v>1640</v>
      </c>
      <c r="C71" s="463" t="s">
        <v>1641</v>
      </c>
      <c r="D71" s="463" t="s">
        <v>1642</v>
      </c>
      <c r="E71" s="149">
        <v>22.14</v>
      </c>
      <c r="F71" s="162"/>
      <c r="G71" s="136" t="s">
        <v>1015</v>
      </c>
      <c r="H71" s="136" t="s">
        <v>1015</v>
      </c>
      <c r="I71" s="162"/>
    </row>
    <row r="72" spans="1:9" customFormat="1" x14ac:dyDescent="0.25">
      <c r="A72" s="463" t="s">
        <v>1643</v>
      </c>
      <c r="B72" s="463" t="s">
        <v>1640</v>
      </c>
      <c r="C72" s="463" t="s">
        <v>1644</v>
      </c>
      <c r="D72" s="463" t="s">
        <v>1645</v>
      </c>
      <c r="E72" s="149">
        <v>27.48</v>
      </c>
      <c r="F72" s="162"/>
      <c r="G72" s="136" t="s">
        <v>1015</v>
      </c>
      <c r="H72" s="136" t="s">
        <v>1015</v>
      </c>
      <c r="I72" s="162"/>
    </row>
    <row r="73" spans="1:9" customFormat="1" x14ac:dyDescent="0.25">
      <c r="A73" s="463" t="s">
        <v>1646</v>
      </c>
      <c r="B73" s="463" t="s">
        <v>1640</v>
      </c>
      <c r="C73" s="463" t="s">
        <v>1644</v>
      </c>
      <c r="D73" s="463" t="s">
        <v>1647</v>
      </c>
      <c r="E73" s="149">
        <v>25.66</v>
      </c>
      <c r="F73" s="162"/>
      <c r="G73" s="136" t="s">
        <v>1015</v>
      </c>
      <c r="H73" s="136" t="s">
        <v>1015</v>
      </c>
      <c r="I73" s="162"/>
    </row>
    <row r="74" spans="1:9" customFormat="1" x14ac:dyDescent="0.25">
      <c r="A74" s="463"/>
      <c r="B74" s="463"/>
      <c r="C74" s="463"/>
      <c r="D74" s="463"/>
      <c r="E74" s="145" t="s">
        <v>1015</v>
      </c>
      <c r="F74" s="162"/>
      <c r="G74" s="136" t="s">
        <v>1015</v>
      </c>
      <c r="H74" s="136" t="s">
        <v>1015</v>
      </c>
      <c r="I74" s="162"/>
    </row>
    <row r="75" spans="1:9" customFormat="1" x14ac:dyDescent="0.25">
      <c r="A75" s="148" t="s">
        <v>1648</v>
      </c>
      <c r="B75" s="138" t="s">
        <v>1015</v>
      </c>
      <c r="C75" s="138" t="s">
        <v>1015</v>
      </c>
      <c r="D75" s="138" t="s">
        <v>1015</v>
      </c>
      <c r="E75" s="145" t="s">
        <v>1015</v>
      </c>
      <c r="F75" s="162"/>
      <c r="G75" s="137" t="s">
        <v>1015</v>
      </c>
      <c r="H75" s="137" t="s">
        <v>1015</v>
      </c>
      <c r="I75" s="137" t="s">
        <v>1015</v>
      </c>
    </row>
    <row r="76" spans="1:9" customFormat="1" x14ac:dyDescent="0.25">
      <c r="A76" s="463" t="s">
        <v>1649</v>
      </c>
      <c r="B76" s="463" t="s">
        <v>1650</v>
      </c>
      <c r="C76" s="463" t="s">
        <v>1651</v>
      </c>
      <c r="D76" s="463" t="s">
        <v>1652</v>
      </c>
      <c r="E76" s="149">
        <v>96.87</v>
      </c>
      <c r="F76" s="162"/>
      <c r="G76" s="136">
        <v>2.1</v>
      </c>
      <c r="H76" s="136">
        <v>3.5</v>
      </c>
      <c r="I76" s="162">
        <v>4.9000000000000004</v>
      </c>
    </row>
    <row r="77" spans="1:9" customFormat="1" x14ac:dyDescent="0.25">
      <c r="A77" s="463" t="s">
        <v>1653</v>
      </c>
      <c r="B77" s="463" t="s">
        <v>1650</v>
      </c>
      <c r="C77" s="463" t="s">
        <v>1654</v>
      </c>
      <c r="D77" s="463" t="s">
        <v>1655</v>
      </c>
      <c r="E77" s="149">
        <v>84.51</v>
      </c>
      <c r="F77" s="162"/>
      <c r="G77" s="136">
        <v>2.2999999999999998</v>
      </c>
      <c r="H77" s="136">
        <v>3.8</v>
      </c>
      <c r="I77" s="162">
        <v>5.3</v>
      </c>
    </row>
    <row r="78" spans="1:9" customFormat="1" x14ac:dyDescent="0.25">
      <c r="A78" s="463" t="s">
        <v>1656</v>
      </c>
      <c r="B78" s="463" t="s">
        <v>1650</v>
      </c>
      <c r="C78" s="463" t="s">
        <v>1657</v>
      </c>
      <c r="D78" s="463" t="s">
        <v>1658</v>
      </c>
      <c r="E78" s="149">
        <v>111.9</v>
      </c>
      <c r="F78" s="162"/>
      <c r="G78" s="136">
        <v>3.2</v>
      </c>
      <c r="H78" s="136">
        <v>5.3</v>
      </c>
      <c r="I78" s="162">
        <v>7.4</v>
      </c>
    </row>
    <row r="79" spans="1:9" customFormat="1" x14ac:dyDescent="0.25">
      <c r="A79" s="463" t="s">
        <v>1659</v>
      </c>
      <c r="B79" s="463" t="s">
        <v>1650</v>
      </c>
      <c r="C79" s="463" t="s">
        <v>1660</v>
      </c>
      <c r="D79" s="463" t="s">
        <v>1661</v>
      </c>
      <c r="E79" s="149">
        <v>97.06</v>
      </c>
      <c r="F79" s="162"/>
      <c r="G79" s="136">
        <v>3.3</v>
      </c>
      <c r="H79" s="136">
        <v>5.6</v>
      </c>
      <c r="I79" s="162">
        <v>7.8</v>
      </c>
    </row>
    <row r="80" spans="1:9" customFormat="1" x14ac:dyDescent="0.25">
      <c r="A80" s="463" t="s">
        <v>1662</v>
      </c>
      <c r="B80" s="463" t="s">
        <v>1650</v>
      </c>
      <c r="C80" s="463" t="s">
        <v>1631</v>
      </c>
      <c r="D80" s="463" t="s">
        <v>1663</v>
      </c>
      <c r="E80" s="149">
        <v>121.66</v>
      </c>
      <c r="F80" s="162"/>
      <c r="G80" s="136">
        <v>3.4</v>
      </c>
      <c r="H80" s="136">
        <v>5.6</v>
      </c>
      <c r="I80" s="162">
        <v>7.8</v>
      </c>
    </row>
    <row r="81" spans="1:9" customFormat="1" x14ac:dyDescent="0.25">
      <c r="A81" s="463" t="s">
        <v>1664</v>
      </c>
      <c r="B81" s="463" t="s">
        <v>1650</v>
      </c>
      <c r="C81" s="463" t="s">
        <v>1665</v>
      </c>
      <c r="D81" s="463" t="s">
        <v>1666</v>
      </c>
      <c r="E81" s="149">
        <v>105.72</v>
      </c>
      <c r="F81" s="162"/>
      <c r="G81" s="136">
        <v>4.4000000000000004</v>
      </c>
      <c r="H81" s="136">
        <v>7.3</v>
      </c>
      <c r="I81" s="162">
        <v>10.199999999999999</v>
      </c>
    </row>
    <row r="82" spans="1:9" customFormat="1" x14ac:dyDescent="0.25">
      <c r="A82" s="463"/>
      <c r="B82" s="463"/>
      <c r="C82" s="463"/>
      <c r="D82" s="463"/>
      <c r="E82" s="145" t="s">
        <v>1015</v>
      </c>
      <c r="F82" s="162"/>
      <c r="G82" s="136" t="s">
        <v>1015</v>
      </c>
      <c r="H82" s="136" t="s">
        <v>1015</v>
      </c>
      <c r="I82" s="162"/>
    </row>
    <row r="83" spans="1:9" customFormat="1" x14ac:dyDescent="0.25">
      <c r="A83" s="148" t="s">
        <v>1667</v>
      </c>
      <c r="B83" s="138" t="s">
        <v>1015</v>
      </c>
      <c r="C83" s="138" t="s">
        <v>1015</v>
      </c>
      <c r="D83" s="138" t="s">
        <v>1015</v>
      </c>
      <c r="E83" s="145" t="s">
        <v>1015</v>
      </c>
      <c r="F83" s="162"/>
      <c r="G83" s="137" t="s">
        <v>1015</v>
      </c>
      <c r="H83" s="137" t="s">
        <v>1015</v>
      </c>
      <c r="I83" s="137" t="s">
        <v>1015</v>
      </c>
    </row>
    <row r="84" spans="1:9" customFormat="1" x14ac:dyDescent="0.25">
      <c r="A84" s="463" t="s">
        <v>1668</v>
      </c>
      <c r="B84" s="463" t="s">
        <v>1669</v>
      </c>
      <c r="C84" s="463" t="s">
        <v>1670</v>
      </c>
      <c r="D84" s="463" t="s">
        <v>1671</v>
      </c>
      <c r="E84" s="145" t="s">
        <v>1015</v>
      </c>
      <c r="F84" s="162"/>
      <c r="G84" s="136" t="s">
        <v>1015</v>
      </c>
      <c r="H84" s="136" t="s">
        <v>1015</v>
      </c>
      <c r="I84" s="162"/>
    </row>
    <row r="85" spans="1:9" customFormat="1" x14ac:dyDescent="0.25">
      <c r="A85" s="463" t="s">
        <v>1672</v>
      </c>
      <c r="B85" s="463" t="s">
        <v>1669</v>
      </c>
      <c r="C85" s="463" t="s">
        <v>1673</v>
      </c>
      <c r="D85" s="463" t="s">
        <v>1637</v>
      </c>
      <c r="E85" s="145" t="s">
        <v>1015</v>
      </c>
      <c r="F85" s="162"/>
      <c r="G85" s="136" t="s">
        <v>1015</v>
      </c>
      <c r="H85" s="136" t="s">
        <v>1015</v>
      </c>
      <c r="I85" s="162"/>
    </row>
    <row r="86" spans="1:9" customFormat="1" x14ac:dyDescent="0.25">
      <c r="A86" s="463"/>
      <c r="B86" s="463"/>
      <c r="C86" s="463"/>
      <c r="D86" s="463"/>
      <c r="E86" s="145" t="s">
        <v>1015</v>
      </c>
      <c r="F86" s="162"/>
      <c r="G86" s="136" t="s">
        <v>1015</v>
      </c>
      <c r="H86" s="136" t="s">
        <v>1015</v>
      </c>
      <c r="I86" s="162"/>
    </row>
    <row r="87" spans="1:9" customFormat="1" x14ac:dyDescent="0.25">
      <c r="A87" s="148" t="s">
        <v>1674</v>
      </c>
      <c r="B87" s="138" t="s">
        <v>1015</v>
      </c>
      <c r="C87" s="138" t="s">
        <v>1015</v>
      </c>
      <c r="D87" s="138" t="s">
        <v>1015</v>
      </c>
      <c r="E87" s="145" t="s">
        <v>1015</v>
      </c>
      <c r="F87" s="162"/>
      <c r="G87" s="137" t="s">
        <v>1015</v>
      </c>
      <c r="H87" s="137" t="s">
        <v>1015</v>
      </c>
      <c r="I87" s="137" t="s">
        <v>1015</v>
      </c>
    </row>
    <row r="88" spans="1:9" customFormat="1" x14ac:dyDescent="0.25">
      <c r="A88" s="463" t="s">
        <v>1675</v>
      </c>
      <c r="B88" s="463" t="s">
        <v>1676</v>
      </c>
      <c r="C88" s="463" t="s">
        <v>1677</v>
      </c>
      <c r="D88" s="463" t="s">
        <v>1678</v>
      </c>
      <c r="E88" s="149">
        <v>70.33</v>
      </c>
      <c r="F88" s="162"/>
      <c r="G88" s="136">
        <v>8</v>
      </c>
      <c r="H88" s="136">
        <v>11</v>
      </c>
      <c r="I88" s="162">
        <v>12.5</v>
      </c>
    </row>
    <row r="89" spans="1:9" customFormat="1" x14ac:dyDescent="0.25">
      <c r="A89" s="463" t="s">
        <v>1679</v>
      </c>
      <c r="B89" s="463" t="s">
        <v>1680</v>
      </c>
      <c r="C89" s="463" t="s">
        <v>1681</v>
      </c>
      <c r="D89" s="463" t="s">
        <v>1682</v>
      </c>
      <c r="E89" s="149">
        <v>64.260000000000005</v>
      </c>
      <c r="F89" s="162"/>
      <c r="G89" s="136">
        <v>8</v>
      </c>
      <c r="H89" s="136">
        <v>11</v>
      </c>
      <c r="I89" s="162">
        <v>12.5</v>
      </c>
    </row>
    <row r="90" spans="1:9" customFormat="1" x14ac:dyDescent="0.25">
      <c r="A90" s="463"/>
      <c r="B90" s="463"/>
      <c r="C90" s="463"/>
      <c r="D90" s="463"/>
      <c r="E90" s="145" t="s">
        <v>1015</v>
      </c>
      <c r="F90" s="162"/>
      <c r="G90" s="136" t="s">
        <v>1015</v>
      </c>
      <c r="H90" s="136" t="s">
        <v>1015</v>
      </c>
      <c r="I90" s="162"/>
    </row>
    <row r="91" spans="1:9" customFormat="1" x14ac:dyDescent="0.25">
      <c r="A91" s="148" t="s">
        <v>1683</v>
      </c>
      <c r="B91" s="138" t="s">
        <v>1015</v>
      </c>
      <c r="C91" s="138" t="s">
        <v>1015</v>
      </c>
      <c r="D91" s="138" t="s">
        <v>1015</v>
      </c>
      <c r="E91" s="145" t="s">
        <v>1015</v>
      </c>
      <c r="F91" s="162"/>
      <c r="G91" s="137" t="s">
        <v>1015</v>
      </c>
      <c r="H91" s="137" t="s">
        <v>1015</v>
      </c>
      <c r="I91" s="137" t="s">
        <v>1015</v>
      </c>
    </row>
    <row r="92" spans="1:9" customFormat="1" x14ac:dyDescent="0.25">
      <c r="A92" s="463" t="s">
        <v>1684</v>
      </c>
      <c r="B92" s="463" t="s">
        <v>1685</v>
      </c>
      <c r="C92" s="463" t="s">
        <v>1686</v>
      </c>
      <c r="D92" s="463" t="s">
        <v>1687</v>
      </c>
      <c r="E92" s="149">
        <v>54.21</v>
      </c>
      <c r="F92" s="162"/>
      <c r="G92" s="136" t="s">
        <v>1015</v>
      </c>
      <c r="H92" s="136" t="s">
        <v>1015</v>
      </c>
      <c r="I92" s="162"/>
    </row>
    <row r="93" spans="1:9" customFormat="1" x14ac:dyDescent="0.25">
      <c r="A93" s="463" t="s">
        <v>1688</v>
      </c>
      <c r="B93" s="463" t="s">
        <v>1685</v>
      </c>
      <c r="C93" s="463" t="s">
        <v>1689</v>
      </c>
      <c r="D93" s="463" t="s">
        <v>1690</v>
      </c>
      <c r="E93" s="149">
        <v>75.28</v>
      </c>
      <c r="F93" s="162"/>
      <c r="G93" s="136" t="s">
        <v>1015</v>
      </c>
      <c r="H93" s="136" t="s">
        <v>1015</v>
      </c>
      <c r="I93" s="162"/>
    </row>
    <row r="94" spans="1:9" customFormat="1" x14ac:dyDescent="0.25">
      <c r="A94" s="463"/>
      <c r="B94" s="463"/>
      <c r="C94" s="463"/>
      <c r="D94" s="463"/>
      <c r="E94" s="145" t="s">
        <v>1015</v>
      </c>
      <c r="F94" s="162"/>
      <c r="G94" s="136" t="s">
        <v>1015</v>
      </c>
      <c r="H94" s="136" t="s">
        <v>1015</v>
      </c>
      <c r="I94" s="162"/>
    </row>
    <row r="95" spans="1:9" customFormat="1" x14ac:dyDescent="0.25">
      <c r="A95" s="148" t="s">
        <v>1691</v>
      </c>
      <c r="B95" s="138" t="s">
        <v>1015</v>
      </c>
      <c r="C95" s="138" t="s">
        <v>1015</v>
      </c>
      <c r="D95" s="138" t="s">
        <v>1015</v>
      </c>
      <c r="E95" s="145" t="s">
        <v>1015</v>
      </c>
      <c r="F95" s="162"/>
      <c r="G95" s="137" t="s">
        <v>1015</v>
      </c>
      <c r="H95" s="137" t="s">
        <v>1015</v>
      </c>
      <c r="I95" s="137" t="s">
        <v>1015</v>
      </c>
    </row>
    <row r="96" spans="1:9" customFormat="1" x14ac:dyDescent="0.25">
      <c r="A96" s="463" t="s">
        <v>1692</v>
      </c>
      <c r="B96" s="463" t="s">
        <v>1693</v>
      </c>
      <c r="C96" s="463" t="s">
        <v>1670</v>
      </c>
      <c r="D96" s="463" t="s">
        <v>1694</v>
      </c>
      <c r="E96" s="149">
        <v>31.29</v>
      </c>
      <c r="F96" s="162"/>
      <c r="G96" s="136" t="s">
        <v>1015</v>
      </c>
      <c r="H96" s="136" t="s">
        <v>1015</v>
      </c>
      <c r="I96" s="162"/>
    </row>
    <row r="97" spans="1:9" customFormat="1" x14ac:dyDescent="0.25">
      <c r="A97" s="463" t="s">
        <v>1695</v>
      </c>
      <c r="B97" s="463" t="s">
        <v>1693</v>
      </c>
      <c r="C97" s="463" t="s">
        <v>1673</v>
      </c>
      <c r="D97" s="463" t="s">
        <v>1637</v>
      </c>
      <c r="E97" s="149">
        <v>33.1</v>
      </c>
      <c r="F97" s="162"/>
      <c r="G97" s="136" t="s">
        <v>1015</v>
      </c>
      <c r="H97" s="136" t="s">
        <v>1015</v>
      </c>
      <c r="I97" s="162"/>
    </row>
    <row r="98" spans="1:9" customFormat="1" x14ac:dyDescent="0.25">
      <c r="A98" s="463"/>
      <c r="B98" s="463"/>
      <c r="C98" s="463"/>
      <c r="D98" s="463"/>
      <c r="E98" s="145" t="s">
        <v>1015</v>
      </c>
      <c r="F98" s="162"/>
      <c r="G98" s="136" t="s">
        <v>1015</v>
      </c>
      <c r="H98" s="136" t="s">
        <v>1015</v>
      </c>
      <c r="I98" s="162"/>
    </row>
    <row r="99" spans="1:9" customFormat="1" x14ac:dyDescent="0.25">
      <c r="A99" s="148" t="s">
        <v>1696</v>
      </c>
      <c r="B99" s="138" t="s">
        <v>1015</v>
      </c>
      <c r="C99" s="138" t="s">
        <v>1015</v>
      </c>
      <c r="D99" s="138" t="s">
        <v>1015</v>
      </c>
      <c r="E99" s="145" t="s">
        <v>1015</v>
      </c>
      <c r="F99" s="162"/>
      <c r="G99" s="137" t="s">
        <v>1015</v>
      </c>
      <c r="H99" s="137" t="s">
        <v>1015</v>
      </c>
      <c r="I99" s="137" t="s">
        <v>1015</v>
      </c>
    </row>
    <row r="100" spans="1:9" customFormat="1" x14ac:dyDescent="0.25">
      <c r="A100" s="463" t="s">
        <v>1697</v>
      </c>
      <c r="B100" s="463" t="s">
        <v>1698</v>
      </c>
      <c r="C100" s="463" t="s">
        <v>1699</v>
      </c>
      <c r="D100" s="463" t="s">
        <v>1700</v>
      </c>
      <c r="E100" s="149">
        <v>26.78</v>
      </c>
      <c r="F100" s="162"/>
      <c r="G100" s="136" t="s">
        <v>1015</v>
      </c>
      <c r="H100" s="136" t="s">
        <v>1015</v>
      </c>
      <c r="I100" s="162"/>
    </row>
    <row r="101" spans="1:9" customFormat="1" x14ac:dyDescent="0.25">
      <c r="A101" s="463" t="s">
        <v>1701</v>
      </c>
      <c r="B101" s="463" t="s">
        <v>1698</v>
      </c>
      <c r="C101" s="463" t="s">
        <v>1702</v>
      </c>
      <c r="D101" s="463" t="s">
        <v>1703</v>
      </c>
      <c r="E101" s="149">
        <v>26.38</v>
      </c>
      <c r="F101" s="162"/>
      <c r="G101" s="136" t="s">
        <v>1015</v>
      </c>
      <c r="H101" s="136" t="s">
        <v>1015</v>
      </c>
      <c r="I101" s="162"/>
    </row>
    <row r="102" spans="1:9" customFormat="1" x14ac:dyDescent="0.25">
      <c r="A102" s="463" t="s">
        <v>1704</v>
      </c>
      <c r="B102" s="463" t="s">
        <v>1698</v>
      </c>
      <c r="C102" s="463" t="s">
        <v>1705</v>
      </c>
      <c r="D102" s="463" t="s">
        <v>1706</v>
      </c>
      <c r="E102" s="149">
        <v>25.53</v>
      </c>
      <c r="F102" s="162"/>
      <c r="G102" s="136" t="s">
        <v>1015</v>
      </c>
      <c r="H102" s="136" t="s">
        <v>1015</v>
      </c>
      <c r="I102" s="162"/>
    </row>
    <row r="103" spans="1:9" customFormat="1" x14ac:dyDescent="0.25">
      <c r="A103" s="463"/>
      <c r="B103" s="463"/>
      <c r="C103" s="463"/>
      <c r="D103" s="463"/>
      <c r="E103" s="145" t="s">
        <v>1015</v>
      </c>
      <c r="F103" s="162"/>
      <c r="G103" s="136" t="s">
        <v>1015</v>
      </c>
      <c r="H103" s="136" t="s">
        <v>1015</v>
      </c>
      <c r="I103" s="162"/>
    </row>
    <row r="104" spans="1:9" customFormat="1" x14ac:dyDescent="0.25">
      <c r="A104" s="148" t="s">
        <v>1707</v>
      </c>
      <c r="B104" s="138" t="s">
        <v>1015</v>
      </c>
      <c r="C104" s="138" t="s">
        <v>1015</v>
      </c>
      <c r="D104" s="138" t="s">
        <v>1015</v>
      </c>
      <c r="E104" s="145" t="s">
        <v>1015</v>
      </c>
      <c r="F104" s="162"/>
      <c r="G104" s="137" t="s">
        <v>1015</v>
      </c>
      <c r="H104" s="137" t="s">
        <v>1015</v>
      </c>
      <c r="I104" s="137" t="s">
        <v>1015</v>
      </c>
    </row>
    <row r="105" spans="1:9" customFormat="1" x14ac:dyDescent="0.25">
      <c r="A105" s="463" t="s">
        <v>1708</v>
      </c>
      <c r="B105" s="463" t="s">
        <v>1709</v>
      </c>
      <c r="C105" s="463" t="s">
        <v>1710</v>
      </c>
      <c r="D105" s="463"/>
      <c r="E105" s="149">
        <v>1.45</v>
      </c>
      <c r="F105" s="162"/>
      <c r="G105" s="136" t="s">
        <v>1015</v>
      </c>
      <c r="H105" s="136" t="s">
        <v>1015</v>
      </c>
      <c r="I105" s="162"/>
    </row>
    <row r="106" spans="1:9" customFormat="1" x14ac:dyDescent="0.25">
      <c r="A106" s="463" t="s">
        <v>1711</v>
      </c>
      <c r="B106" s="463" t="s">
        <v>1709</v>
      </c>
      <c r="C106" s="463" t="s">
        <v>1712</v>
      </c>
      <c r="D106" s="463"/>
      <c r="E106" s="149">
        <v>2.5299999999999998</v>
      </c>
      <c r="F106" s="162"/>
      <c r="G106" s="136" t="s">
        <v>1015</v>
      </c>
      <c r="H106" s="136" t="s">
        <v>1015</v>
      </c>
      <c r="I106" s="162"/>
    </row>
    <row r="107" spans="1:9" customFormat="1" x14ac:dyDescent="0.25">
      <c r="A107" s="463" t="s">
        <v>1713</v>
      </c>
      <c r="B107" s="463" t="s">
        <v>1709</v>
      </c>
      <c r="C107" s="463" t="s">
        <v>1714</v>
      </c>
      <c r="D107" s="463"/>
      <c r="E107" s="149">
        <v>3.09</v>
      </c>
      <c r="F107" s="162"/>
      <c r="G107" s="136" t="s">
        <v>1015</v>
      </c>
      <c r="H107" s="136" t="s">
        <v>1015</v>
      </c>
      <c r="I107" s="162"/>
    </row>
    <row r="108" spans="1:9" customFormat="1" x14ac:dyDescent="0.25">
      <c r="A108" s="463" t="s">
        <v>1715</v>
      </c>
      <c r="B108" s="463" t="s">
        <v>1716</v>
      </c>
      <c r="C108" s="463" t="s">
        <v>1717</v>
      </c>
      <c r="D108" s="463"/>
      <c r="E108" s="149">
        <v>16.579999999999998</v>
      </c>
      <c r="F108" s="162"/>
      <c r="G108" s="136" t="s">
        <v>1015</v>
      </c>
      <c r="H108" s="136" t="s">
        <v>1015</v>
      </c>
      <c r="I108" s="162"/>
    </row>
    <row r="109" spans="1:9" customFormat="1" x14ac:dyDescent="0.25">
      <c r="A109" s="463" t="s">
        <v>1718</v>
      </c>
      <c r="B109" s="463" t="s">
        <v>1719</v>
      </c>
      <c r="C109" s="463" t="s">
        <v>1720</v>
      </c>
      <c r="D109" s="463"/>
      <c r="E109" s="149">
        <v>22.39</v>
      </c>
      <c r="F109" s="162"/>
      <c r="G109" s="136" t="s">
        <v>1015</v>
      </c>
      <c r="H109" s="136" t="s">
        <v>1015</v>
      </c>
      <c r="I109" s="162"/>
    </row>
    <row r="110" spans="1:9" customFormat="1" x14ac:dyDescent="0.25">
      <c r="A110" s="463"/>
      <c r="B110" s="463"/>
      <c r="C110" s="463"/>
      <c r="D110" s="463"/>
      <c r="E110" s="145" t="s">
        <v>1015</v>
      </c>
      <c r="F110" s="162"/>
      <c r="G110" s="136" t="s">
        <v>1015</v>
      </c>
      <c r="H110" s="136" t="s">
        <v>1015</v>
      </c>
      <c r="I110" s="162"/>
    </row>
    <row r="111" spans="1:9" customFormat="1" x14ac:dyDescent="0.25">
      <c r="A111" s="148" t="s">
        <v>1721</v>
      </c>
      <c r="B111" s="138" t="s">
        <v>1015</v>
      </c>
      <c r="C111" s="138" t="s">
        <v>1015</v>
      </c>
      <c r="D111" s="138" t="s">
        <v>1015</v>
      </c>
      <c r="E111" s="145" t="s">
        <v>1015</v>
      </c>
      <c r="F111" s="162"/>
      <c r="G111" s="137" t="s">
        <v>1015</v>
      </c>
      <c r="H111" s="137" t="s">
        <v>1015</v>
      </c>
      <c r="I111" s="137" t="s">
        <v>1015</v>
      </c>
    </row>
    <row r="112" spans="1:9" customFormat="1" x14ac:dyDescent="0.25">
      <c r="A112" s="463" t="s">
        <v>1722</v>
      </c>
      <c r="B112" s="463"/>
      <c r="C112" s="463" t="s">
        <v>1723</v>
      </c>
      <c r="D112" s="463"/>
      <c r="E112" s="149">
        <v>242.24</v>
      </c>
      <c r="F112" s="162"/>
      <c r="G112" s="136" t="s">
        <v>1015</v>
      </c>
      <c r="H112" s="136" t="s">
        <v>1015</v>
      </c>
      <c r="I112" s="162"/>
    </row>
    <row r="113" spans="1:10" customFormat="1" x14ac:dyDescent="0.25">
      <c r="A113" s="463" t="s">
        <v>1724</v>
      </c>
      <c r="B113" s="463"/>
      <c r="C113" s="463"/>
      <c r="D113" s="463"/>
      <c r="E113" s="149">
        <v>0.03</v>
      </c>
      <c r="F113" s="162"/>
      <c r="G113" s="136" t="s">
        <v>1015</v>
      </c>
      <c r="H113" s="136" t="s">
        <v>1015</v>
      </c>
      <c r="I113" s="162"/>
    </row>
    <row r="114" spans="1:10" customFormat="1" x14ac:dyDescent="0.25">
      <c r="A114" s="463" t="s">
        <v>1725</v>
      </c>
      <c r="B114" s="463" t="s">
        <v>1726</v>
      </c>
      <c r="C114" s="463" t="s">
        <v>1727</v>
      </c>
      <c r="D114" s="463"/>
      <c r="E114" s="149">
        <v>0.28000000000000003</v>
      </c>
      <c r="F114" s="162"/>
      <c r="G114" s="136" t="s">
        <v>1015</v>
      </c>
      <c r="H114" s="136" t="s">
        <v>1015</v>
      </c>
      <c r="I114" s="162"/>
    </row>
    <row r="115" spans="1:10" customFormat="1" x14ac:dyDescent="0.25">
      <c r="A115" s="463" t="s">
        <v>1728</v>
      </c>
      <c r="B115" s="463" t="s">
        <v>1729</v>
      </c>
      <c r="C115" s="463" t="s">
        <v>1727</v>
      </c>
      <c r="D115" s="463"/>
      <c r="E115" s="149">
        <v>0.68</v>
      </c>
      <c r="F115" s="162"/>
      <c r="G115" s="136" t="s">
        <v>1015</v>
      </c>
      <c r="H115" s="136" t="s">
        <v>1015</v>
      </c>
      <c r="I115" s="162"/>
    </row>
    <row r="116" spans="1:10" customFormat="1" x14ac:dyDescent="0.25">
      <c r="A116" s="463" t="s">
        <v>1730</v>
      </c>
      <c r="B116" s="463" t="s">
        <v>1731</v>
      </c>
      <c r="C116" s="463" t="s">
        <v>1732</v>
      </c>
      <c r="D116" s="463"/>
      <c r="E116" s="463"/>
      <c r="F116" s="149">
        <v>5.7</v>
      </c>
      <c r="G116" s="162"/>
      <c r="H116" s="136" t="s">
        <v>1015</v>
      </c>
      <c r="I116" s="136" t="s">
        <v>1015</v>
      </c>
      <c r="J116" s="162"/>
    </row>
    <row r="117" spans="1:10" customFormat="1" x14ac:dyDescent="0.25">
      <c r="A117" s="463" t="s">
        <v>1733</v>
      </c>
      <c r="B117" s="463"/>
      <c r="C117" s="463"/>
      <c r="D117" s="463"/>
      <c r="E117" s="149">
        <v>40.07</v>
      </c>
      <c r="F117" s="162"/>
      <c r="G117" s="136" t="s">
        <v>1015</v>
      </c>
      <c r="H117" s="136" t="s">
        <v>1015</v>
      </c>
      <c r="I117" s="162"/>
    </row>
    <row r="118" spans="1:10" customFormat="1" x14ac:dyDescent="0.25">
      <c r="A118" s="463" t="s">
        <v>1734</v>
      </c>
      <c r="B118" s="463"/>
      <c r="C118" s="463" t="s">
        <v>1735</v>
      </c>
      <c r="D118" s="463"/>
      <c r="E118" s="463"/>
      <c r="F118" s="150">
        <v>33.729999999999997</v>
      </c>
      <c r="G118" s="162"/>
      <c r="H118" s="136" t="s">
        <v>1015</v>
      </c>
      <c r="I118" s="136" t="s">
        <v>1015</v>
      </c>
      <c r="J118" s="162"/>
    </row>
    <row r="119" spans="1:10" customFormat="1" x14ac:dyDescent="0.25">
      <c r="A119" s="463"/>
      <c r="B119" s="463"/>
      <c r="C119" s="463"/>
      <c r="D119" s="463"/>
      <c r="E119" s="145" t="s">
        <v>1015</v>
      </c>
      <c r="F119" s="162"/>
      <c r="G119" s="136" t="s">
        <v>1015</v>
      </c>
      <c r="H119" s="136" t="s">
        <v>1015</v>
      </c>
      <c r="I119" s="162"/>
    </row>
    <row r="120" spans="1:10" customFormat="1" x14ac:dyDescent="0.25">
      <c r="A120" s="148" t="s">
        <v>1736</v>
      </c>
      <c r="B120" s="148"/>
      <c r="C120" s="138" t="s">
        <v>1015</v>
      </c>
      <c r="D120" s="138" t="s">
        <v>1015</v>
      </c>
      <c r="E120" s="145" t="s">
        <v>1015</v>
      </c>
      <c r="F120" s="162"/>
      <c r="G120" s="137" t="s">
        <v>1015</v>
      </c>
      <c r="H120" s="137" t="s">
        <v>1015</v>
      </c>
      <c r="I120" s="137" t="s">
        <v>1015</v>
      </c>
    </row>
    <row r="121" spans="1:10" customFormat="1" x14ac:dyDescent="0.25">
      <c r="A121" s="463" t="s">
        <v>1737</v>
      </c>
      <c r="B121" s="463"/>
      <c r="C121" s="463" t="s">
        <v>1738</v>
      </c>
      <c r="D121" s="463"/>
      <c r="E121" s="149">
        <v>142.41999999999999</v>
      </c>
      <c r="F121" s="162"/>
      <c r="G121" s="162"/>
      <c r="H121" s="162"/>
      <c r="I121" s="162"/>
    </row>
    <row r="122" spans="1:10" customFormat="1" x14ac:dyDescent="0.25">
      <c r="A122" s="463" t="s">
        <v>1739</v>
      </c>
      <c r="B122" s="463"/>
      <c r="C122" s="463" t="s">
        <v>1673</v>
      </c>
      <c r="D122" s="463" t="s">
        <v>1740</v>
      </c>
      <c r="E122" s="149">
        <v>238.61</v>
      </c>
      <c r="F122" s="162"/>
      <c r="G122" s="136">
        <v>4.0999999999999996</v>
      </c>
      <c r="H122" s="136">
        <v>5.2</v>
      </c>
      <c r="I122" s="162">
        <v>6.9</v>
      </c>
    </row>
    <row r="123" spans="1:10" customFormat="1" x14ac:dyDescent="0.25">
      <c r="A123" s="463" t="s">
        <v>1741</v>
      </c>
      <c r="B123" s="463"/>
      <c r="C123" s="463" t="s">
        <v>1742</v>
      </c>
      <c r="D123" s="463"/>
      <c r="E123" s="149">
        <v>289.39999999999998</v>
      </c>
      <c r="F123" s="162"/>
      <c r="G123" s="136">
        <v>5.3</v>
      </c>
      <c r="H123" s="136">
        <v>7.1</v>
      </c>
      <c r="I123" s="162">
        <v>8.9</v>
      </c>
    </row>
    <row r="124" spans="1:10" customFormat="1" x14ac:dyDescent="0.25">
      <c r="A124" s="463" t="s">
        <v>1743</v>
      </c>
      <c r="B124" s="463"/>
      <c r="C124" s="463" t="s">
        <v>1744</v>
      </c>
      <c r="D124" s="463"/>
      <c r="E124" s="149">
        <v>383.67</v>
      </c>
      <c r="F124" s="162"/>
      <c r="G124" s="136">
        <v>6.1</v>
      </c>
      <c r="H124" s="136">
        <v>8.1</v>
      </c>
      <c r="I124" s="162">
        <v>10.1</v>
      </c>
    </row>
    <row r="125" spans="1:10" customFormat="1" x14ac:dyDescent="0.25">
      <c r="A125" s="463"/>
      <c r="B125" s="463"/>
      <c r="C125" s="463"/>
      <c r="D125" s="463"/>
      <c r="E125" s="145" t="s">
        <v>1015</v>
      </c>
      <c r="F125" s="162"/>
      <c r="G125" s="136" t="s">
        <v>1015</v>
      </c>
      <c r="H125" s="136" t="s">
        <v>1015</v>
      </c>
      <c r="I125" s="162"/>
    </row>
    <row r="126" spans="1:10" customFormat="1" x14ac:dyDescent="0.25">
      <c r="A126" s="148" t="s">
        <v>1745</v>
      </c>
      <c r="B126" s="148"/>
      <c r="C126" s="138" t="s">
        <v>1015</v>
      </c>
      <c r="D126" s="138" t="s">
        <v>1015</v>
      </c>
      <c r="E126" s="145" t="s">
        <v>1015</v>
      </c>
      <c r="F126" s="162"/>
      <c r="G126" s="137" t="s">
        <v>1015</v>
      </c>
      <c r="H126" s="137" t="s">
        <v>1015</v>
      </c>
      <c r="I126" s="137" t="s">
        <v>1015</v>
      </c>
    </row>
    <row r="127" spans="1:10" customFormat="1" x14ac:dyDescent="0.25">
      <c r="A127" s="463" t="s">
        <v>1746</v>
      </c>
      <c r="B127" s="463"/>
      <c r="C127" s="463" t="s">
        <v>1631</v>
      </c>
      <c r="D127" s="463"/>
      <c r="E127" s="149">
        <v>99.2</v>
      </c>
      <c r="F127" s="162"/>
      <c r="G127" s="136">
        <v>3.6</v>
      </c>
      <c r="H127" s="136">
        <v>5.4</v>
      </c>
      <c r="I127" s="162">
        <v>7.2</v>
      </c>
    </row>
    <row r="128" spans="1:10" customFormat="1" x14ac:dyDescent="0.25">
      <c r="A128" s="463" t="s">
        <v>1747</v>
      </c>
      <c r="B128" s="463"/>
      <c r="C128" s="463" t="s">
        <v>1748</v>
      </c>
      <c r="D128" s="463"/>
      <c r="E128" s="149">
        <v>253.98</v>
      </c>
      <c r="F128" s="162"/>
      <c r="G128" s="136">
        <v>5.9</v>
      </c>
      <c r="H128" s="136">
        <v>8.8000000000000007</v>
      </c>
      <c r="I128" s="162">
        <v>11.7</v>
      </c>
    </row>
  </sheetData>
  <mergeCells count="2">
    <mergeCell ref="A1:D1"/>
    <mergeCell ref="G1:I1"/>
  </mergeCells>
  <pageMargins left="0.25" right="0.25" top="0.75" bottom="0.75" header="0.3" footer="0.3"/>
  <pageSetup scale="92"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2FEE9-93DD-402D-BF51-D4C549C7B102}">
  <sheetPr codeName="Sheet7">
    <tabColor rgb="FFFFC000"/>
    <pageSetUpPr fitToPage="1"/>
  </sheetPr>
  <dimension ref="J1:K10"/>
  <sheetViews>
    <sheetView zoomScale="85" zoomScaleNormal="85" workbookViewId="0">
      <selection activeCell="Q25" sqref="Q25"/>
    </sheetView>
  </sheetViews>
  <sheetFormatPr defaultRowHeight="15" x14ac:dyDescent="0.25"/>
  <cols>
    <col min="10" max="10" width="32.85546875" bestFit="1" customWidth="1"/>
    <col min="11" max="11" width="23.85546875" bestFit="1" customWidth="1"/>
    <col min="20" max="20" width="32.85546875" bestFit="1" customWidth="1"/>
    <col min="21" max="21" width="23.85546875" bestFit="1" customWidth="1"/>
  </cols>
  <sheetData>
    <row r="1" spans="10:11" ht="13.5" customHeight="1" x14ac:dyDescent="0.25"/>
    <row r="4" spans="10:11" x14ac:dyDescent="0.25">
      <c r="J4" s="982" t="s">
        <v>1749</v>
      </c>
      <c r="K4" s="982"/>
    </row>
    <row r="5" spans="10:11" x14ac:dyDescent="0.25">
      <c r="J5" s="6" t="s">
        <v>1750</v>
      </c>
      <c r="K5" s="8" t="s">
        <v>1751</v>
      </c>
    </row>
    <row r="6" spans="10:11" x14ac:dyDescent="0.25">
      <c r="J6" s="10"/>
    </row>
    <row r="7" spans="10:11" x14ac:dyDescent="0.25">
      <c r="J7" s="10" t="s">
        <v>1752</v>
      </c>
      <c r="K7" s="43">
        <v>0</v>
      </c>
    </row>
    <row r="8" spans="10:11" x14ac:dyDescent="0.25">
      <c r="J8" s="10" t="s">
        <v>1753</v>
      </c>
      <c r="K8" s="43">
        <v>0.06</v>
      </c>
    </row>
    <row r="9" spans="10:11" x14ac:dyDescent="0.25">
      <c r="J9" s="10" t="s">
        <v>1754</v>
      </c>
      <c r="K9" s="43">
        <v>0.05</v>
      </c>
    </row>
    <row r="10" spans="10:11" x14ac:dyDescent="0.25">
      <c r="J10" s="10" t="s">
        <v>1755</v>
      </c>
      <c r="K10" s="43">
        <v>0.03</v>
      </c>
    </row>
  </sheetData>
  <mergeCells count="1">
    <mergeCell ref="J4:K4"/>
  </mergeCells>
  <pageMargins left="0.25" right="0.25" top="0.75" bottom="0.75" header="0.3" footer="0.3"/>
  <pageSetup scale="8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D3871-4C7D-4191-A1D0-67CAF235E953}">
  <sheetPr codeName="Sheet3">
    <tabColor rgb="FFFFFF00"/>
    <pageSetUpPr fitToPage="1"/>
  </sheetPr>
  <dimension ref="A1:I758"/>
  <sheetViews>
    <sheetView zoomScale="70" zoomScaleNormal="70" workbookViewId="0">
      <selection activeCell="A4" sqref="A4:H4"/>
    </sheetView>
  </sheetViews>
  <sheetFormatPr defaultRowHeight="15" x14ac:dyDescent="0.25"/>
  <cols>
    <col min="1" max="2" width="20.7109375" customWidth="1"/>
    <col min="3" max="3" width="5.7109375" customWidth="1"/>
    <col min="4" max="4" width="20.7109375" customWidth="1"/>
    <col min="5" max="5" width="5.7109375" customWidth="1"/>
    <col min="6" max="6" width="20.7109375" customWidth="1"/>
    <col min="7" max="7" width="5.7109375" customWidth="1"/>
    <col min="8" max="8" width="46" customWidth="1"/>
    <col min="10" max="10" width="35.28515625" bestFit="1" customWidth="1"/>
  </cols>
  <sheetData>
    <row r="1" spans="1:8" ht="15.6" customHeight="1" x14ac:dyDescent="0.25">
      <c r="A1" s="926" t="str">
        <f>Summary!A1</f>
        <v>Montana Resources, LLC</v>
      </c>
      <c r="B1" s="926"/>
      <c r="C1" s="926"/>
      <c r="D1" s="926"/>
      <c r="E1" s="926"/>
      <c r="F1" s="926"/>
      <c r="G1" s="926"/>
      <c r="H1" s="926"/>
    </row>
    <row r="2" spans="1:8" ht="15.75" x14ac:dyDescent="0.25">
      <c r="A2" s="926" t="str">
        <f>Summary!A2</f>
        <v>Operating Permit #00030</v>
      </c>
      <c r="B2" s="926"/>
      <c r="C2" s="926"/>
      <c r="D2" s="926"/>
      <c r="E2" s="926"/>
      <c r="F2" s="926"/>
      <c r="G2" s="926"/>
      <c r="H2" s="926"/>
    </row>
    <row r="3" spans="1:8" ht="15.6" customHeight="1" x14ac:dyDescent="0.25">
      <c r="A3" s="926" t="str">
        <f>Summary!A3</f>
        <v>Final Comprehensive 5-Year Bond Review</v>
      </c>
      <c r="B3" s="926"/>
      <c r="C3" s="926"/>
      <c r="D3" s="926"/>
      <c r="E3" s="926"/>
      <c r="F3" s="926"/>
      <c r="G3" s="926"/>
      <c r="H3" s="926"/>
    </row>
    <row r="4" spans="1:8" ht="15.6" customHeight="1" x14ac:dyDescent="0.25">
      <c r="A4" s="925">
        <f>Summary!A4</f>
        <v>46146</v>
      </c>
      <c r="B4" s="925"/>
      <c r="C4" s="925"/>
      <c r="D4" s="925"/>
      <c r="E4" s="925"/>
      <c r="F4" s="925"/>
      <c r="G4" s="925"/>
      <c r="H4" s="925"/>
    </row>
    <row r="6" spans="1:8" ht="15.75" x14ac:dyDescent="0.25">
      <c r="A6" s="914" t="s">
        <v>340</v>
      </c>
      <c r="B6" s="914"/>
      <c r="C6" s="914"/>
      <c r="D6" s="914"/>
      <c r="E6" s="914"/>
      <c r="F6" s="914"/>
      <c r="G6" s="914"/>
      <c r="H6" s="914"/>
    </row>
    <row r="7" spans="1:8" x14ac:dyDescent="0.25">
      <c r="A7" s="18"/>
      <c r="B7" s="18"/>
      <c r="C7" s="18"/>
      <c r="D7" s="18"/>
      <c r="E7" s="18"/>
      <c r="F7" s="18"/>
      <c r="G7" s="18"/>
    </row>
    <row r="8" spans="1:8" x14ac:dyDescent="0.25">
      <c r="A8" s="68" t="s">
        <v>0</v>
      </c>
      <c r="B8" s="26" t="s">
        <v>1</v>
      </c>
      <c r="C8" s="640"/>
      <c r="D8" s="640"/>
      <c r="E8" s="640"/>
      <c r="F8" s="640"/>
      <c r="G8" s="640"/>
      <c r="H8" s="640"/>
    </row>
    <row r="9" spans="1:8" ht="15.75" x14ac:dyDescent="0.25">
      <c r="A9" s="645" t="s">
        <v>2</v>
      </c>
      <c r="B9" t="s">
        <v>3</v>
      </c>
      <c r="D9" s="639"/>
      <c r="E9" s="639"/>
      <c r="F9" s="639"/>
      <c r="G9" s="639"/>
      <c r="H9" s="639"/>
    </row>
    <row r="10" spans="1:8" ht="15.75" x14ac:dyDescent="0.25">
      <c r="A10" s="645" t="s">
        <v>4</v>
      </c>
      <c r="B10" t="s">
        <v>5</v>
      </c>
      <c r="D10" s="639"/>
      <c r="E10" s="639"/>
      <c r="F10" s="639"/>
      <c r="G10" s="639"/>
      <c r="H10" s="639"/>
    </row>
    <row r="11" spans="1:8" ht="15.75" x14ac:dyDescent="0.25">
      <c r="A11" s="645" t="s">
        <v>6</v>
      </c>
      <c r="B11" t="s">
        <v>7</v>
      </c>
      <c r="D11" s="639"/>
      <c r="E11" s="639"/>
      <c r="F11" s="639"/>
      <c r="G11" s="639"/>
      <c r="H11" s="639"/>
    </row>
    <row r="12" spans="1:8" ht="15.75" x14ac:dyDescent="0.25">
      <c r="A12" s="645" t="s">
        <v>8</v>
      </c>
      <c r="B12" t="s">
        <v>9</v>
      </c>
      <c r="D12" s="639"/>
      <c r="E12" s="639"/>
      <c r="F12" s="639"/>
      <c r="G12" s="639"/>
      <c r="H12" s="639"/>
    </row>
    <row r="13" spans="1:8" ht="15.75" x14ac:dyDescent="0.25">
      <c r="A13" s="645" t="s">
        <v>10</v>
      </c>
      <c r="B13" t="s">
        <v>11</v>
      </c>
      <c r="D13" s="639"/>
      <c r="E13" s="639"/>
      <c r="F13" s="639"/>
      <c r="G13" s="639"/>
      <c r="H13" s="639"/>
    </row>
    <row r="14" spans="1:8" ht="15.75" x14ac:dyDescent="0.25">
      <c r="A14" s="645" t="s">
        <v>12</v>
      </c>
      <c r="B14" t="s">
        <v>13</v>
      </c>
      <c r="D14" s="639"/>
      <c r="E14" s="639"/>
      <c r="F14" s="639"/>
      <c r="G14" s="639"/>
      <c r="H14" s="639"/>
    </row>
    <row r="15" spans="1:8" ht="15.75" x14ac:dyDescent="0.25">
      <c r="A15" s="645" t="s">
        <v>14</v>
      </c>
      <c r="B15" t="s">
        <v>15</v>
      </c>
      <c r="D15" s="639"/>
      <c r="E15" s="639"/>
      <c r="F15" s="639"/>
      <c r="G15" s="639"/>
      <c r="H15" s="639"/>
    </row>
    <row r="16" spans="1:8" ht="15.75" x14ac:dyDescent="0.25">
      <c r="A16" s="645" t="s">
        <v>16</v>
      </c>
      <c r="B16" t="s">
        <v>17</v>
      </c>
      <c r="D16" s="639"/>
      <c r="E16" s="639"/>
      <c r="F16" s="639"/>
      <c r="G16" s="639"/>
      <c r="H16" s="639"/>
    </row>
    <row r="17" spans="1:8" ht="15.75" x14ac:dyDescent="0.25">
      <c r="A17" s="645" t="s">
        <v>18</v>
      </c>
      <c r="B17" t="s">
        <v>19</v>
      </c>
      <c r="D17" s="639"/>
      <c r="E17" s="639"/>
      <c r="F17" s="639"/>
      <c r="G17" s="639"/>
      <c r="H17" s="639"/>
    </row>
    <row r="18" spans="1:8" ht="15.75" x14ac:dyDescent="0.25">
      <c r="A18" s="645" t="s">
        <v>20</v>
      </c>
      <c r="B18" t="s">
        <v>21</v>
      </c>
      <c r="D18" s="639"/>
      <c r="E18" s="639"/>
      <c r="F18" s="639"/>
      <c r="G18" s="639"/>
      <c r="H18" s="639"/>
    </row>
    <row r="19" spans="1:8" ht="15.75" x14ac:dyDescent="0.25">
      <c r="A19" s="645" t="s">
        <v>1884</v>
      </c>
      <c r="B19" t="s">
        <v>1885</v>
      </c>
      <c r="D19" s="639"/>
      <c r="E19" s="639"/>
      <c r="F19" s="639"/>
      <c r="G19" s="639"/>
      <c r="H19" s="639"/>
    </row>
    <row r="20" spans="1:8" ht="15.75" x14ac:dyDescent="0.25">
      <c r="A20" s="645" t="s">
        <v>22</v>
      </c>
      <c r="B20" t="s">
        <v>23</v>
      </c>
      <c r="D20" s="639"/>
      <c r="E20" s="639"/>
      <c r="F20" s="639"/>
      <c r="G20" s="639"/>
      <c r="H20" s="639"/>
    </row>
    <row r="21" spans="1:8" ht="15.75" x14ac:dyDescent="0.25">
      <c r="A21" s="645" t="s">
        <v>24</v>
      </c>
      <c r="B21" t="s">
        <v>25</v>
      </c>
      <c r="D21" s="639"/>
      <c r="E21" s="639"/>
      <c r="F21" s="639"/>
      <c r="G21" s="639"/>
      <c r="H21" s="639"/>
    </row>
    <row r="22" spans="1:8" ht="15.75" x14ac:dyDescent="0.25">
      <c r="A22" s="645" t="s">
        <v>26</v>
      </c>
      <c r="B22" t="s">
        <v>27</v>
      </c>
      <c r="D22" s="639"/>
      <c r="E22" s="639"/>
      <c r="F22" s="639"/>
      <c r="G22" s="639"/>
      <c r="H22" s="639"/>
    </row>
    <row r="23" spans="1:8" ht="15.75" x14ac:dyDescent="0.25">
      <c r="A23" s="645" t="s">
        <v>28</v>
      </c>
      <c r="B23" t="s">
        <v>29</v>
      </c>
      <c r="D23" s="639"/>
      <c r="E23" s="639"/>
      <c r="F23" s="639"/>
      <c r="G23" s="639"/>
      <c r="H23" s="639"/>
    </row>
    <row r="24" spans="1:8" ht="15.75" x14ac:dyDescent="0.25">
      <c r="A24" s="645" t="s">
        <v>30</v>
      </c>
      <c r="B24" t="s">
        <v>31</v>
      </c>
      <c r="D24" s="639"/>
      <c r="E24" s="639"/>
      <c r="F24" s="639"/>
      <c r="G24" s="639"/>
      <c r="H24" s="639"/>
    </row>
    <row r="25" spans="1:8" ht="15.75" x14ac:dyDescent="0.25">
      <c r="A25" s="645" t="s">
        <v>32</v>
      </c>
      <c r="B25" t="s">
        <v>33</v>
      </c>
      <c r="D25" s="639"/>
      <c r="E25" s="639"/>
      <c r="F25" s="639"/>
      <c r="G25" s="639"/>
      <c r="H25" s="639"/>
    </row>
    <row r="26" spans="1:8" ht="15.75" x14ac:dyDescent="0.25">
      <c r="A26" s="645" t="s">
        <v>34</v>
      </c>
      <c r="B26" t="s">
        <v>35</v>
      </c>
      <c r="D26" s="639"/>
      <c r="E26" s="639"/>
      <c r="F26" s="639"/>
      <c r="G26" s="639"/>
      <c r="H26" s="639"/>
    </row>
    <row r="27" spans="1:8" ht="15.75" x14ac:dyDescent="0.25">
      <c r="A27" s="645" t="s">
        <v>36</v>
      </c>
      <c r="B27" t="s">
        <v>37</v>
      </c>
      <c r="D27" s="639"/>
      <c r="E27" s="639"/>
      <c r="F27" s="639"/>
      <c r="G27" s="639"/>
      <c r="H27" s="639"/>
    </row>
    <row r="28" spans="1:8" ht="15.75" x14ac:dyDescent="0.25">
      <c r="A28" s="645" t="s">
        <v>38</v>
      </c>
      <c r="B28" t="s">
        <v>39</v>
      </c>
      <c r="D28" s="639"/>
      <c r="E28" s="639"/>
      <c r="F28" s="639"/>
      <c r="G28" s="639"/>
      <c r="H28" s="639"/>
    </row>
    <row r="29" spans="1:8" ht="15.75" x14ac:dyDescent="0.25">
      <c r="A29" s="645" t="s">
        <v>40</v>
      </c>
      <c r="B29" t="s">
        <v>41</v>
      </c>
      <c r="D29" s="639"/>
      <c r="E29" s="639"/>
      <c r="F29" s="639"/>
      <c r="G29" s="639"/>
      <c r="H29" s="639"/>
    </row>
    <row r="30" spans="1:8" ht="15.75" x14ac:dyDescent="0.25">
      <c r="A30" s="645" t="s">
        <v>42</v>
      </c>
      <c r="B30" t="s">
        <v>43</v>
      </c>
      <c r="D30" s="639"/>
      <c r="E30" s="639"/>
      <c r="F30" s="639"/>
      <c r="G30" s="639"/>
      <c r="H30" s="639"/>
    </row>
    <row r="31" spans="1:8" ht="15.75" x14ac:dyDescent="0.25">
      <c r="A31" s="645" t="s">
        <v>44</v>
      </c>
      <c r="B31" t="s">
        <v>45</v>
      </c>
      <c r="D31" s="639"/>
      <c r="E31" s="639"/>
      <c r="F31" s="639"/>
      <c r="G31" s="639"/>
      <c r="H31" s="639"/>
    </row>
    <row r="32" spans="1:8" x14ac:dyDescent="0.25">
      <c r="A32" s="639"/>
      <c r="B32" s="639"/>
      <c r="C32" s="639"/>
      <c r="D32" s="639"/>
      <c r="E32" s="639"/>
      <c r="F32" s="639"/>
      <c r="G32" s="639"/>
      <c r="H32" s="639"/>
    </row>
    <row r="33" spans="1:8" x14ac:dyDescent="0.25">
      <c r="A33" s="461" t="s">
        <v>1965</v>
      </c>
      <c r="B33" s="461"/>
      <c r="C33" s="461"/>
      <c r="D33" s="461"/>
      <c r="E33" s="461"/>
      <c r="F33" s="461"/>
      <c r="G33" s="461"/>
      <c r="H33" s="49"/>
    </row>
    <row r="35" spans="1:8" x14ac:dyDescent="0.25">
      <c r="A35" s="918" t="s">
        <v>242</v>
      </c>
      <c r="B35" s="918"/>
      <c r="C35" s="918"/>
      <c r="D35" s="918"/>
      <c r="E35" s="918"/>
      <c r="F35" s="918"/>
      <c r="G35" s="918"/>
      <c r="H35" s="918"/>
    </row>
    <row r="36" spans="1:8" x14ac:dyDescent="0.25">
      <c r="A36" s="917" t="s">
        <v>341</v>
      </c>
      <c r="B36" s="919"/>
      <c r="C36" s="919"/>
      <c r="D36" s="919"/>
      <c r="E36" s="919"/>
      <c r="F36" s="919"/>
      <c r="G36" s="919"/>
      <c r="H36" s="919"/>
    </row>
    <row r="37" spans="1:8" x14ac:dyDescent="0.25">
      <c r="A37" s="917" t="s">
        <v>342</v>
      </c>
      <c r="B37" s="917"/>
      <c r="C37" s="917"/>
      <c r="D37" s="917"/>
      <c r="E37" s="917"/>
      <c r="F37" s="917"/>
      <c r="G37" s="917"/>
      <c r="H37" s="917"/>
    </row>
    <row r="38" spans="1:8" x14ac:dyDescent="0.25">
      <c r="A38" s="917"/>
      <c r="B38" s="917"/>
      <c r="C38" s="917"/>
      <c r="D38" s="917"/>
      <c r="E38" s="917"/>
      <c r="F38" s="917"/>
      <c r="G38" s="917"/>
      <c r="H38" s="917"/>
    </row>
    <row r="39" spans="1:8" x14ac:dyDescent="0.25">
      <c r="A39" s="918" t="s">
        <v>243</v>
      </c>
      <c r="B39" s="918"/>
      <c r="C39" s="918"/>
      <c r="D39" s="918"/>
      <c r="E39" s="918"/>
      <c r="F39" s="918"/>
      <c r="G39" s="918"/>
      <c r="H39" s="918"/>
    </row>
    <row r="40" spans="1:8" x14ac:dyDescent="0.25">
      <c r="A40" s="917" t="s">
        <v>343</v>
      </c>
      <c r="B40" s="919"/>
      <c r="C40" s="919"/>
      <c r="D40" s="919"/>
      <c r="E40" s="919"/>
      <c r="F40" s="919"/>
      <c r="G40" s="919"/>
      <c r="H40" s="919"/>
    </row>
    <row r="41" spans="1:8" x14ac:dyDescent="0.25">
      <c r="A41" s="917" t="s">
        <v>344</v>
      </c>
      <c r="B41" s="919"/>
      <c r="C41" s="919"/>
      <c r="D41" s="919"/>
      <c r="E41" s="919"/>
      <c r="F41" s="919"/>
      <c r="G41" s="919"/>
      <c r="H41" s="919"/>
    </row>
    <row r="42" spans="1:8" x14ac:dyDescent="0.25">
      <c r="A42" s="917" t="s">
        <v>345</v>
      </c>
      <c r="B42" s="919"/>
      <c r="C42" s="919"/>
      <c r="D42" s="919"/>
      <c r="E42" s="919"/>
      <c r="F42" s="919"/>
      <c r="G42" s="919"/>
      <c r="H42" s="919"/>
    </row>
    <row r="43" spans="1:8" x14ac:dyDescent="0.25">
      <c r="A43" s="917" t="s">
        <v>346</v>
      </c>
      <c r="B43" s="919"/>
      <c r="C43" s="919"/>
      <c r="D43" s="919"/>
      <c r="E43" s="919"/>
      <c r="F43" s="919"/>
      <c r="G43" s="919"/>
      <c r="H43" s="919"/>
    </row>
    <row r="44" spans="1:8" x14ac:dyDescent="0.25">
      <c r="A44" s="917" t="s">
        <v>347</v>
      </c>
      <c r="B44" s="919"/>
      <c r="C44" s="919"/>
      <c r="D44" s="919"/>
      <c r="E44" s="919"/>
      <c r="F44" s="919"/>
      <c r="G44" s="919"/>
      <c r="H44" s="919"/>
    </row>
    <row r="45" spans="1:8" x14ac:dyDescent="0.25">
      <c r="A45" s="917" t="s">
        <v>348</v>
      </c>
      <c r="B45" s="919"/>
      <c r="C45" s="919"/>
      <c r="D45" s="919"/>
      <c r="E45" s="919"/>
      <c r="F45" s="919"/>
      <c r="G45" s="919"/>
      <c r="H45" s="919"/>
    </row>
    <row r="46" spans="1:8" x14ac:dyDescent="0.25">
      <c r="A46" s="917" t="s">
        <v>349</v>
      </c>
      <c r="B46" s="919"/>
      <c r="C46" s="919"/>
      <c r="D46" s="919"/>
      <c r="E46" s="919"/>
      <c r="F46" s="919"/>
      <c r="G46" s="919"/>
      <c r="H46" s="919"/>
    </row>
    <row r="47" spans="1:8" x14ac:dyDescent="0.25">
      <c r="A47" s="917" t="s">
        <v>350</v>
      </c>
      <c r="B47" s="919"/>
      <c r="C47" s="919"/>
      <c r="D47" s="919"/>
      <c r="E47" s="919"/>
      <c r="F47" s="919"/>
      <c r="G47" s="919"/>
      <c r="H47" s="919"/>
    </row>
    <row r="48" spans="1:8" x14ac:dyDescent="0.25">
      <c r="A48" s="924"/>
      <c r="B48" s="927"/>
      <c r="C48" s="927"/>
      <c r="D48" s="927"/>
      <c r="E48" s="927"/>
      <c r="F48" s="927"/>
      <c r="G48" s="927"/>
      <c r="H48" s="927"/>
    </row>
    <row r="49" spans="1:8" x14ac:dyDescent="0.25">
      <c r="A49" s="918" t="s">
        <v>244</v>
      </c>
      <c r="B49" s="918"/>
      <c r="C49" s="918"/>
      <c r="D49" s="918"/>
      <c r="E49" s="918"/>
      <c r="F49" s="918"/>
      <c r="G49" s="918"/>
      <c r="H49" s="918"/>
    </row>
    <row r="50" spans="1:8" x14ac:dyDescent="0.25">
      <c r="A50" s="917" t="s">
        <v>351</v>
      </c>
      <c r="B50" s="919"/>
      <c r="C50" s="919"/>
      <c r="D50" s="919"/>
      <c r="E50" s="919"/>
      <c r="F50" s="919"/>
      <c r="G50" s="919"/>
      <c r="H50" s="919"/>
    </row>
    <row r="51" spans="1:8" x14ac:dyDescent="0.25">
      <c r="A51" s="917" t="s">
        <v>352</v>
      </c>
      <c r="B51" s="919"/>
      <c r="C51" s="919"/>
      <c r="D51" s="919"/>
      <c r="E51" s="919"/>
      <c r="F51" s="919"/>
      <c r="G51" s="919"/>
      <c r="H51" s="919"/>
    </row>
    <row r="52" spans="1:8" x14ac:dyDescent="0.25">
      <c r="A52" s="917" t="s">
        <v>353</v>
      </c>
      <c r="B52" s="917"/>
      <c r="C52" s="917"/>
      <c r="D52" s="917"/>
      <c r="E52" s="917"/>
      <c r="F52" s="917"/>
      <c r="G52" s="917"/>
      <c r="H52" s="917"/>
    </row>
    <row r="53" spans="1:8" x14ac:dyDescent="0.25">
      <c r="A53" s="917" t="s">
        <v>354</v>
      </c>
      <c r="B53" s="917"/>
      <c r="C53" s="917"/>
      <c r="D53" s="917"/>
      <c r="E53" s="917"/>
      <c r="F53" s="917"/>
      <c r="G53" s="917"/>
      <c r="H53" s="917"/>
    </row>
    <row r="54" spans="1:8" x14ac:dyDescent="0.25">
      <c r="A54" s="917" t="s">
        <v>355</v>
      </c>
      <c r="B54" s="917"/>
      <c r="C54" s="917"/>
      <c r="D54" s="917"/>
      <c r="E54" s="917"/>
      <c r="F54" s="917"/>
      <c r="G54" s="917"/>
      <c r="H54" s="917"/>
    </row>
    <row r="55" spans="1:8" x14ac:dyDescent="0.25">
      <c r="A55" s="924"/>
      <c r="B55" s="924"/>
      <c r="C55" s="924"/>
      <c r="D55" s="924"/>
      <c r="E55" s="924"/>
      <c r="F55" s="924"/>
      <c r="G55" s="924"/>
      <c r="H55" s="924"/>
    </row>
    <row r="56" spans="1:8" x14ac:dyDescent="0.25">
      <c r="A56" s="918" t="s">
        <v>356</v>
      </c>
      <c r="B56" s="918"/>
      <c r="C56" s="918"/>
      <c r="D56" s="918"/>
      <c r="E56" s="918"/>
      <c r="F56" s="918"/>
      <c r="G56" s="918"/>
      <c r="H56" s="918"/>
    </row>
    <row r="57" spans="1:8" x14ac:dyDescent="0.25">
      <c r="A57" s="917" t="s">
        <v>357</v>
      </c>
      <c r="B57" s="919"/>
      <c r="C57" s="919"/>
      <c r="D57" s="919"/>
      <c r="E57" s="919"/>
      <c r="F57" s="919"/>
      <c r="G57" s="919"/>
      <c r="H57" s="919"/>
    </row>
    <row r="58" spans="1:8" x14ac:dyDescent="0.25">
      <c r="A58" s="917" t="s">
        <v>358</v>
      </c>
      <c r="B58" s="919"/>
      <c r="C58" s="919"/>
      <c r="D58" s="919"/>
      <c r="E58" s="919"/>
      <c r="F58" s="919"/>
      <c r="G58" s="919"/>
      <c r="H58" s="919"/>
    </row>
    <row r="59" spans="1:8" x14ac:dyDescent="0.25">
      <c r="A59" s="917" t="s">
        <v>359</v>
      </c>
      <c r="B59" s="919"/>
      <c r="C59" s="919"/>
      <c r="D59" s="919"/>
      <c r="E59" s="919"/>
      <c r="F59" s="919"/>
      <c r="G59" s="919"/>
      <c r="H59" s="919"/>
    </row>
    <row r="60" spans="1:8" x14ac:dyDescent="0.25">
      <c r="A60" s="917" t="s">
        <v>1900</v>
      </c>
      <c r="B60" s="919"/>
      <c r="C60" s="919"/>
      <c r="D60" s="919"/>
      <c r="E60" s="919"/>
      <c r="F60" s="919"/>
      <c r="G60" s="919"/>
      <c r="H60" s="919"/>
    </row>
    <row r="61" spans="1:8" x14ac:dyDescent="0.25">
      <c r="A61" s="917"/>
      <c r="B61" s="919"/>
      <c r="C61" s="919"/>
      <c r="D61" s="919"/>
      <c r="E61" s="919"/>
      <c r="F61" s="919"/>
      <c r="G61" s="919"/>
      <c r="H61" s="919"/>
    </row>
    <row r="62" spans="1:8" x14ac:dyDescent="0.25">
      <c r="A62" s="917" t="s">
        <v>360</v>
      </c>
      <c r="B62" s="919"/>
      <c r="C62" s="919"/>
      <c r="D62" s="919"/>
      <c r="E62" s="919"/>
      <c r="F62" s="919"/>
      <c r="G62" s="919"/>
      <c r="H62" s="919"/>
    </row>
    <row r="63" spans="1:8" x14ac:dyDescent="0.25">
      <c r="A63" s="917" t="s">
        <v>361</v>
      </c>
      <c r="B63" s="919"/>
      <c r="C63" s="919"/>
      <c r="D63" s="919"/>
      <c r="E63" s="919"/>
      <c r="F63" s="919"/>
      <c r="G63" s="919"/>
      <c r="H63" s="919"/>
    </row>
    <row r="64" spans="1:8" x14ac:dyDescent="0.25">
      <c r="A64" s="917" t="s">
        <v>362</v>
      </c>
      <c r="B64" s="919"/>
      <c r="C64" s="919"/>
      <c r="D64" s="919"/>
      <c r="E64" s="919"/>
      <c r="F64" s="919"/>
      <c r="G64" s="919"/>
      <c r="H64" s="919"/>
    </row>
    <row r="65" spans="1:9" x14ac:dyDescent="0.25">
      <c r="A65" s="917" t="s">
        <v>363</v>
      </c>
      <c r="B65" s="919"/>
      <c r="C65" s="919"/>
      <c r="D65" s="919"/>
      <c r="E65" s="919"/>
      <c r="F65" s="919"/>
      <c r="G65" s="919"/>
      <c r="H65" s="919"/>
    </row>
    <row r="66" spans="1:9" x14ac:dyDescent="0.25">
      <c r="A66" s="917" t="s">
        <v>364</v>
      </c>
      <c r="B66" s="919"/>
      <c r="C66" s="919"/>
      <c r="D66" s="919"/>
      <c r="E66" s="919"/>
      <c r="F66" s="919"/>
      <c r="G66" s="919"/>
      <c r="H66" s="919"/>
    </row>
    <row r="67" spans="1:9" x14ac:dyDescent="0.25">
      <c r="A67" s="924"/>
      <c r="B67" s="927"/>
      <c r="C67" s="927"/>
      <c r="D67" s="927"/>
      <c r="E67" s="927"/>
      <c r="F67" s="927"/>
      <c r="G67" s="927"/>
      <c r="H67" s="927"/>
    </row>
    <row r="68" spans="1:9" x14ac:dyDescent="0.25">
      <c r="A68" s="933"/>
      <c r="B68" s="933"/>
      <c r="C68" s="933"/>
      <c r="D68" s="933"/>
      <c r="E68" s="933"/>
      <c r="F68" s="933"/>
      <c r="G68" s="933"/>
      <c r="H68" s="933"/>
    </row>
    <row r="69" spans="1:9" ht="19.149999999999999" customHeight="1" x14ac:dyDescent="0.25">
      <c r="A69" s="628" t="s">
        <v>365</v>
      </c>
      <c r="B69" s="457"/>
      <c r="C69" s="457"/>
      <c r="D69" s="922"/>
      <c r="E69" s="923"/>
      <c r="F69" s="922"/>
      <c r="G69" s="923"/>
      <c r="H69" s="457"/>
    </row>
    <row r="70" spans="1:9" x14ac:dyDescent="0.25">
      <c r="A70" s="455"/>
      <c r="B70" s="167"/>
      <c r="F70" s="5"/>
      <c r="G70" s="5"/>
      <c r="H70" s="7"/>
      <c r="I70" s="5"/>
    </row>
    <row r="71" spans="1:9" x14ac:dyDescent="0.25">
      <c r="A71" s="461" t="s">
        <v>367</v>
      </c>
      <c r="B71" s="168"/>
      <c r="C71" s="49"/>
      <c r="D71" s="49"/>
      <c r="E71" s="49"/>
      <c r="F71" s="51"/>
      <c r="G71" s="51"/>
      <c r="H71" s="52"/>
      <c r="I71" s="5"/>
    </row>
    <row r="72" spans="1:9" x14ac:dyDescent="0.25">
      <c r="A72" s="916" t="s">
        <v>368</v>
      </c>
      <c r="B72" s="916"/>
      <c r="C72" s="916"/>
      <c r="D72" s="916"/>
      <c r="E72" s="916"/>
      <c r="F72" s="916"/>
      <c r="G72" s="916"/>
      <c r="H72" s="916"/>
      <c r="I72" s="5"/>
    </row>
    <row r="73" spans="1:9" x14ac:dyDescent="0.25">
      <c r="A73" s="920"/>
      <c r="B73" s="920"/>
      <c r="C73" s="920"/>
      <c r="D73" s="920"/>
      <c r="E73" s="920"/>
      <c r="F73" s="920"/>
      <c r="G73" s="920"/>
      <c r="H73" s="920"/>
      <c r="I73" s="5"/>
    </row>
    <row r="74" spans="1:9" x14ac:dyDescent="0.25">
      <c r="A74" s="921" t="s">
        <v>369</v>
      </c>
      <c r="B74" s="921"/>
      <c r="C74" s="921"/>
      <c r="D74" s="921"/>
      <c r="E74" s="921"/>
      <c r="F74" s="921"/>
      <c r="G74" s="921"/>
      <c r="H74" s="921"/>
      <c r="I74" s="5"/>
    </row>
    <row r="75" spans="1:9" x14ac:dyDescent="0.25">
      <c r="A75" s="917" t="s">
        <v>370</v>
      </c>
      <c r="B75" s="917"/>
      <c r="C75" s="917"/>
      <c r="D75" s="917"/>
      <c r="E75" s="917"/>
      <c r="F75" s="917"/>
      <c r="G75" s="917"/>
      <c r="H75" s="917"/>
      <c r="I75" s="5"/>
    </row>
    <row r="76" spans="1:9" x14ac:dyDescent="0.25">
      <c r="A76" s="917" t="s">
        <v>371</v>
      </c>
      <c r="B76" s="917"/>
      <c r="C76" s="917"/>
      <c r="D76" s="917"/>
      <c r="E76" s="917"/>
      <c r="F76" s="917"/>
      <c r="G76" s="917"/>
      <c r="H76" s="917"/>
      <c r="I76" s="5"/>
    </row>
    <row r="77" spans="1:9" x14ac:dyDescent="0.25">
      <c r="A77" s="492" t="s">
        <v>1171</v>
      </c>
      <c r="I77" s="5"/>
    </row>
    <row r="78" spans="1:9" x14ac:dyDescent="0.25">
      <c r="A78" s="492" t="s">
        <v>1863</v>
      </c>
      <c r="I78" s="5"/>
    </row>
    <row r="79" spans="1:9" x14ac:dyDescent="0.25">
      <c r="A79" s="492" t="s">
        <v>1864</v>
      </c>
      <c r="I79" s="5"/>
    </row>
    <row r="80" spans="1:9" x14ac:dyDescent="0.25">
      <c r="A80" s="492" t="s">
        <v>1865</v>
      </c>
      <c r="I80" s="5"/>
    </row>
    <row r="81" spans="1:9" x14ac:dyDescent="0.25">
      <c r="A81" s="492" t="s">
        <v>1866</v>
      </c>
      <c r="I81" s="5"/>
    </row>
    <row r="82" spans="1:9" x14ac:dyDescent="0.25">
      <c r="A82" s="492" t="s">
        <v>1867</v>
      </c>
      <c r="I82" s="5"/>
    </row>
    <row r="83" spans="1:9" x14ac:dyDescent="0.25">
      <c r="A83" s="492" t="s">
        <v>1868</v>
      </c>
      <c r="I83" s="5"/>
    </row>
    <row r="84" spans="1:9" x14ac:dyDescent="0.25">
      <c r="A84" s="322" t="s">
        <v>1869</v>
      </c>
      <c r="B84" s="73"/>
      <c r="C84" s="73"/>
      <c r="D84" s="73"/>
      <c r="E84" s="73"/>
      <c r="F84" s="73"/>
      <c r="G84" s="73"/>
      <c r="H84" s="73"/>
      <c r="I84" s="5"/>
    </row>
    <row r="85" spans="1:9" x14ac:dyDescent="0.25">
      <c r="A85" s="492" t="s">
        <v>1870</v>
      </c>
      <c r="I85" s="5"/>
    </row>
    <row r="86" spans="1:9" x14ac:dyDescent="0.25">
      <c r="A86" s="492" t="s">
        <v>1871</v>
      </c>
      <c r="I86" s="5"/>
    </row>
    <row r="87" spans="1:9" x14ac:dyDescent="0.25">
      <c r="A87" s="492" t="s">
        <v>1872</v>
      </c>
      <c r="I87" s="5"/>
    </row>
    <row r="88" spans="1:9" x14ac:dyDescent="0.25">
      <c r="A88" s="492" t="s">
        <v>1873</v>
      </c>
      <c r="I88" s="5"/>
    </row>
    <row r="89" spans="1:9" x14ac:dyDescent="0.25">
      <c r="A89" s="492" t="s">
        <v>1874</v>
      </c>
      <c r="I89" s="5"/>
    </row>
    <row r="90" spans="1:9" x14ac:dyDescent="0.25">
      <c r="A90" s="492" t="s">
        <v>771</v>
      </c>
      <c r="I90" s="5"/>
    </row>
    <row r="91" spans="1:9" x14ac:dyDescent="0.25">
      <c r="A91" s="452"/>
      <c r="B91" s="452"/>
      <c r="C91" s="452"/>
      <c r="D91" s="452"/>
      <c r="E91" s="452"/>
      <c r="F91" s="452"/>
      <c r="G91" s="452"/>
      <c r="H91" s="452"/>
      <c r="I91" s="5"/>
    </row>
    <row r="92" spans="1:9" x14ac:dyDescent="0.25">
      <c r="A92" s="916" t="s">
        <v>372</v>
      </c>
      <c r="B92" s="916"/>
      <c r="C92" s="916"/>
      <c r="D92" s="916"/>
      <c r="E92" s="916"/>
      <c r="F92" s="916"/>
      <c r="G92" s="916"/>
      <c r="H92" s="916"/>
      <c r="I92" s="5"/>
    </row>
    <row r="93" spans="1:9" x14ac:dyDescent="0.25">
      <c r="A93" s="917" t="s">
        <v>373</v>
      </c>
      <c r="B93" s="917"/>
      <c r="C93" s="917"/>
      <c r="D93" s="917"/>
      <c r="E93" s="917"/>
      <c r="F93" s="917"/>
      <c r="G93" s="917"/>
      <c r="H93" s="917"/>
      <c r="I93" s="5"/>
    </row>
    <row r="94" spans="1:9" x14ac:dyDescent="0.25">
      <c r="A94" s="917" t="s">
        <v>1899</v>
      </c>
      <c r="B94" s="917"/>
      <c r="C94" s="917"/>
      <c r="D94" s="917"/>
      <c r="E94" s="917"/>
      <c r="F94" s="917"/>
      <c r="G94" s="917"/>
      <c r="H94" s="917"/>
      <c r="I94" s="5"/>
    </row>
    <row r="95" spans="1:9" x14ac:dyDescent="0.25">
      <c r="A95" s="917" t="s">
        <v>374</v>
      </c>
      <c r="B95" s="917"/>
      <c r="C95" s="917"/>
      <c r="D95" s="917"/>
      <c r="E95" s="917"/>
      <c r="F95" s="917"/>
      <c r="G95" s="917"/>
      <c r="H95" s="917"/>
      <c r="I95" s="5"/>
    </row>
    <row r="96" spans="1:9" x14ac:dyDescent="0.25">
      <c r="A96" s="917"/>
      <c r="B96" s="917"/>
      <c r="C96" s="917"/>
      <c r="D96" s="917"/>
      <c r="E96" s="917"/>
      <c r="F96" s="917"/>
      <c r="G96" s="917"/>
      <c r="H96" s="917"/>
      <c r="I96" s="5"/>
    </row>
    <row r="97" spans="1:9" x14ac:dyDescent="0.25">
      <c r="A97" s="921" t="s">
        <v>375</v>
      </c>
      <c r="B97" s="921"/>
      <c r="C97" s="921"/>
      <c r="D97" s="921"/>
      <c r="E97" s="921"/>
      <c r="F97" s="921"/>
      <c r="G97" s="921"/>
      <c r="H97" s="921"/>
      <c r="I97" s="5"/>
    </row>
    <row r="98" spans="1:9" x14ac:dyDescent="0.25">
      <c r="A98" s="917" t="s">
        <v>376</v>
      </c>
      <c r="B98" s="917"/>
      <c r="C98" s="917"/>
      <c r="D98" s="917"/>
      <c r="E98" s="917"/>
      <c r="F98" s="917"/>
      <c r="G98" s="917"/>
      <c r="H98" s="917"/>
      <c r="I98" s="5"/>
    </row>
    <row r="99" spans="1:9" x14ac:dyDescent="0.25">
      <c r="A99" s="917" t="s">
        <v>377</v>
      </c>
      <c r="B99" s="917"/>
      <c r="C99" s="917"/>
      <c r="D99" s="917"/>
      <c r="E99" s="917"/>
      <c r="F99" s="917"/>
      <c r="G99" s="917"/>
      <c r="H99" s="917"/>
      <c r="I99" s="5"/>
    </row>
    <row r="100" spans="1:9" x14ac:dyDescent="0.25">
      <c r="A100" s="917" t="s">
        <v>1859</v>
      </c>
      <c r="B100" s="917"/>
      <c r="C100" s="917"/>
      <c r="D100" s="917"/>
      <c r="E100" s="917"/>
      <c r="F100" s="917"/>
      <c r="G100" s="917"/>
      <c r="H100" s="917"/>
      <c r="I100" s="5"/>
    </row>
    <row r="101" spans="1:9" x14ac:dyDescent="0.25">
      <c r="A101" s="917" t="s">
        <v>1860</v>
      </c>
      <c r="B101" s="917"/>
      <c r="C101" s="917"/>
      <c r="D101" s="917"/>
      <c r="E101" s="917"/>
      <c r="F101" s="917"/>
      <c r="G101" s="917"/>
      <c r="H101" s="917"/>
      <c r="I101" s="5"/>
    </row>
    <row r="102" spans="1:9" x14ac:dyDescent="0.25">
      <c r="A102" s="930"/>
      <c r="B102" s="930"/>
      <c r="C102" s="930"/>
      <c r="D102" s="930"/>
      <c r="E102" s="930"/>
      <c r="F102" s="930"/>
      <c r="G102" s="930"/>
      <c r="H102" s="930"/>
      <c r="I102" s="5"/>
    </row>
    <row r="103" spans="1:9" x14ac:dyDescent="0.25">
      <c r="A103" s="460"/>
      <c r="B103" s="460"/>
      <c r="C103" s="460"/>
      <c r="D103" s="460"/>
      <c r="E103" s="460"/>
      <c r="F103" s="460"/>
      <c r="G103" s="460"/>
      <c r="H103" s="460"/>
      <c r="I103" s="5"/>
    </row>
    <row r="104" spans="1:9" x14ac:dyDescent="0.25">
      <c r="A104" s="68" t="s">
        <v>46</v>
      </c>
      <c r="B104" s="30"/>
      <c r="C104" s="30"/>
      <c r="D104" s="641"/>
      <c r="E104" s="641"/>
      <c r="F104" s="641"/>
      <c r="G104" s="641"/>
      <c r="H104" s="641"/>
      <c r="I104" s="5"/>
    </row>
    <row r="105" spans="1:9" x14ac:dyDescent="0.25">
      <c r="I105" s="5"/>
    </row>
    <row r="106" spans="1:9" x14ac:dyDescent="0.25">
      <c r="A106" s="642" t="s">
        <v>47</v>
      </c>
      <c r="B106" s="642" t="s">
        <v>48</v>
      </c>
      <c r="C106" s="643"/>
      <c r="D106" s="643"/>
      <c r="E106" s="644"/>
      <c r="F106" s="643"/>
      <c r="G106" s="644"/>
      <c r="H106" s="642" t="s">
        <v>1926</v>
      </c>
      <c r="I106" s="5"/>
    </row>
    <row r="107" spans="1:9" x14ac:dyDescent="0.25">
      <c r="A107" s="460">
        <v>1</v>
      </c>
      <c r="B107" t="s">
        <v>49</v>
      </c>
      <c r="E107" s="460"/>
      <c r="G107" s="460"/>
      <c r="H107" s="1" t="s">
        <v>50</v>
      </c>
      <c r="I107" s="5"/>
    </row>
    <row r="108" spans="1:9" x14ac:dyDescent="0.25">
      <c r="A108" s="460">
        <v>1.1000000000000001</v>
      </c>
      <c r="B108" t="s">
        <v>51</v>
      </c>
      <c r="E108" s="460"/>
      <c r="G108" s="460"/>
      <c r="H108" s="1" t="s">
        <v>50</v>
      </c>
      <c r="I108" s="5"/>
    </row>
    <row r="109" spans="1:9" x14ac:dyDescent="0.25">
      <c r="A109" s="460">
        <v>1.2</v>
      </c>
      <c r="B109" t="s">
        <v>52</v>
      </c>
      <c r="E109" s="460"/>
      <c r="G109" s="460"/>
      <c r="H109" s="167" t="s">
        <v>53</v>
      </c>
      <c r="I109" s="5"/>
    </row>
    <row r="110" spans="1:9" x14ac:dyDescent="0.25">
      <c r="A110" s="460">
        <v>1.3</v>
      </c>
      <c r="B110" t="s">
        <v>54</v>
      </c>
      <c r="E110" s="460"/>
      <c r="G110" s="460"/>
      <c r="H110" s="1" t="s">
        <v>50</v>
      </c>
      <c r="I110" s="5"/>
    </row>
    <row r="111" spans="1:9" x14ac:dyDescent="0.25">
      <c r="A111" s="460">
        <v>1.4</v>
      </c>
      <c r="B111" t="s">
        <v>55</v>
      </c>
      <c r="E111" s="460"/>
      <c r="G111" s="460"/>
      <c r="H111" t="s">
        <v>56</v>
      </c>
      <c r="I111" s="5"/>
    </row>
    <row r="112" spans="1:9" x14ac:dyDescent="0.25">
      <c r="A112" s="460" t="s">
        <v>57</v>
      </c>
      <c r="B112" t="s">
        <v>58</v>
      </c>
      <c r="E112" s="460"/>
      <c r="G112" s="460"/>
      <c r="H112" t="s">
        <v>56</v>
      </c>
      <c r="I112" s="5"/>
    </row>
    <row r="113" spans="1:9" x14ac:dyDescent="0.25">
      <c r="A113" s="460" t="s">
        <v>59</v>
      </c>
      <c r="B113" t="s">
        <v>60</v>
      </c>
      <c r="E113" s="460"/>
      <c r="G113" s="460"/>
      <c r="H113" t="s">
        <v>56</v>
      </c>
      <c r="I113" s="5"/>
    </row>
    <row r="114" spans="1:9" x14ac:dyDescent="0.25">
      <c r="A114" s="460" t="s">
        <v>61</v>
      </c>
      <c r="B114" t="s">
        <v>62</v>
      </c>
      <c r="E114" s="460"/>
      <c r="G114" s="460"/>
      <c r="H114" t="s">
        <v>56</v>
      </c>
      <c r="I114" s="5"/>
    </row>
    <row r="115" spans="1:9" x14ac:dyDescent="0.25">
      <c r="A115" s="460" t="s">
        <v>63</v>
      </c>
      <c r="B115" t="s">
        <v>64</v>
      </c>
      <c r="E115" s="460"/>
      <c r="G115" s="460"/>
      <c r="H115" t="s">
        <v>56</v>
      </c>
      <c r="I115" s="5"/>
    </row>
    <row r="116" spans="1:9" x14ac:dyDescent="0.25">
      <c r="A116" s="460">
        <v>1.5</v>
      </c>
      <c r="B116" t="s">
        <v>65</v>
      </c>
      <c r="E116" s="460"/>
      <c r="G116" s="460"/>
      <c r="H116" s="1" t="s">
        <v>50</v>
      </c>
      <c r="I116" s="5"/>
    </row>
    <row r="117" spans="1:9" x14ac:dyDescent="0.25">
      <c r="A117" s="460">
        <v>1.6</v>
      </c>
      <c r="B117" t="s">
        <v>66</v>
      </c>
      <c r="E117" s="460"/>
      <c r="G117" s="460"/>
      <c r="H117" s="1" t="s">
        <v>50</v>
      </c>
      <c r="I117" s="5"/>
    </row>
    <row r="118" spans="1:9" x14ac:dyDescent="0.25">
      <c r="A118" s="644"/>
      <c r="B118" s="643"/>
      <c r="C118" s="643"/>
      <c r="D118" s="643"/>
      <c r="E118" s="644"/>
      <c r="F118" s="643"/>
      <c r="G118" s="644"/>
      <c r="H118" s="643"/>
      <c r="I118" s="5"/>
    </row>
    <row r="119" spans="1:9" x14ac:dyDescent="0.25">
      <c r="A119" s="460">
        <v>2</v>
      </c>
      <c r="B119" t="s">
        <v>67</v>
      </c>
      <c r="E119" s="460"/>
      <c r="G119" s="460"/>
      <c r="H119" s="1" t="s">
        <v>50</v>
      </c>
      <c r="I119" s="5"/>
    </row>
    <row r="120" spans="1:9" x14ac:dyDescent="0.25">
      <c r="A120" s="460">
        <v>2.1</v>
      </c>
      <c r="B120" t="s">
        <v>68</v>
      </c>
      <c r="E120" s="460"/>
      <c r="G120" s="460"/>
      <c r="H120" s="1" t="s">
        <v>50</v>
      </c>
      <c r="I120" s="5"/>
    </row>
    <row r="121" spans="1:9" x14ac:dyDescent="0.25">
      <c r="A121" s="460">
        <v>2.2000000000000002</v>
      </c>
      <c r="B121" t="s">
        <v>69</v>
      </c>
      <c r="E121" s="460"/>
      <c r="G121" s="460"/>
      <c r="H121" s="1" t="s">
        <v>50</v>
      </c>
      <c r="I121" s="5"/>
    </row>
    <row r="122" spans="1:9" x14ac:dyDescent="0.25">
      <c r="A122" s="460">
        <v>2.2999999999999998</v>
      </c>
      <c r="B122" t="s">
        <v>70</v>
      </c>
      <c r="E122" s="460"/>
      <c r="G122" s="460"/>
      <c r="H122" t="s">
        <v>56</v>
      </c>
      <c r="I122" s="5"/>
    </row>
    <row r="123" spans="1:9" x14ac:dyDescent="0.25">
      <c r="A123" s="460" t="s">
        <v>71</v>
      </c>
      <c r="B123" t="s">
        <v>72</v>
      </c>
      <c r="E123" s="460"/>
      <c r="G123" s="460"/>
      <c r="H123" s="1" t="s">
        <v>50</v>
      </c>
      <c r="I123" s="5"/>
    </row>
    <row r="124" spans="1:9" x14ac:dyDescent="0.25">
      <c r="A124" s="460" t="s">
        <v>73</v>
      </c>
      <c r="B124" t="s">
        <v>74</v>
      </c>
      <c r="E124" s="460"/>
      <c r="G124" s="460"/>
      <c r="H124" s="1" t="s">
        <v>50</v>
      </c>
      <c r="I124" s="5"/>
    </row>
    <row r="125" spans="1:9" x14ac:dyDescent="0.25">
      <c r="A125" s="460" t="s">
        <v>75</v>
      </c>
      <c r="B125" t="s">
        <v>45</v>
      </c>
      <c r="E125" s="460"/>
      <c r="G125" s="460"/>
      <c r="H125" s="1" t="s">
        <v>50</v>
      </c>
      <c r="I125" s="5"/>
    </row>
    <row r="126" spans="1:9" x14ac:dyDescent="0.25">
      <c r="A126" s="460" t="s">
        <v>76</v>
      </c>
      <c r="B126" t="s">
        <v>77</v>
      </c>
      <c r="E126" s="460"/>
      <c r="G126" s="460"/>
      <c r="H126" s="1" t="s">
        <v>50</v>
      </c>
      <c r="I126" s="5"/>
    </row>
    <row r="127" spans="1:9" x14ac:dyDescent="0.25">
      <c r="A127" s="460" t="s">
        <v>78</v>
      </c>
      <c r="B127" t="s">
        <v>79</v>
      </c>
      <c r="E127" s="460"/>
      <c r="G127" s="460"/>
      <c r="H127" s="1" t="s">
        <v>50</v>
      </c>
      <c r="I127" s="5"/>
    </row>
    <row r="128" spans="1:9" x14ac:dyDescent="0.25">
      <c r="A128" s="460" t="s">
        <v>80</v>
      </c>
      <c r="B128" t="s">
        <v>81</v>
      </c>
      <c r="E128" s="460"/>
      <c r="G128" s="460"/>
      <c r="H128" s="1" t="s">
        <v>50</v>
      </c>
      <c r="I128" s="5"/>
    </row>
    <row r="129" spans="1:9" x14ac:dyDescent="0.25">
      <c r="A129" s="460" t="s">
        <v>82</v>
      </c>
      <c r="B129" t="s">
        <v>83</v>
      </c>
      <c r="E129" s="460"/>
      <c r="G129" s="460"/>
      <c r="H129" s="1" t="s">
        <v>50</v>
      </c>
      <c r="I129" s="5"/>
    </row>
    <row r="130" spans="1:9" x14ac:dyDescent="0.25">
      <c r="A130" s="460">
        <v>2.4</v>
      </c>
      <c r="B130" t="s">
        <v>84</v>
      </c>
      <c r="E130" s="460"/>
      <c r="G130" s="460"/>
      <c r="H130" s="1" t="s">
        <v>50</v>
      </c>
      <c r="I130" s="5"/>
    </row>
    <row r="131" spans="1:9" x14ac:dyDescent="0.25">
      <c r="A131" s="460" t="s">
        <v>85</v>
      </c>
      <c r="B131" t="s">
        <v>86</v>
      </c>
      <c r="E131" s="460"/>
      <c r="G131" s="460"/>
      <c r="H131" s="1" t="s">
        <v>50</v>
      </c>
      <c r="I131" s="5"/>
    </row>
    <row r="132" spans="1:9" x14ac:dyDescent="0.25">
      <c r="A132" s="460" t="s">
        <v>87</v>
      </c>
      <c r="B132" t="s">
        <v>88</v>
      </c>
      <c r="E132" s="460"/>
      <c r="G132" s="460"/>
      <c r="H132" s="1" t="s">
        <v>50</v>
      </c>
      <c r="I132" s="5"/>
    </row>
    <row r="133" spans="1:9" x14ac:dyDescent="0.25">
      <c r="A133" s="644"/>
      <c r="B133" s="643"/>
      <c r="C133" s="643"/>
      <c r="D133" s="643"/>
      <c r="E133" s="644"/>
      <c r="F133" s="643"/>
      <c r="G133" s="644"/>
      <c r="H133" s="643"/>
      <c r="I133" s="5"/>
    </row>
    <row r="134" spans="1:9" x14ac:dyDescent="0.25">
      <c r="A134" s="460">
        <v>3</v>
      </c>
      <c r="B134" t="s">
        <v>89</v>
      </c>
      <c r="E134" s="460"/>
      <c r="G134" s="460"/>
      <c r="H134" t="s">
        <v>56</v>
      </c>
      <c r="I134" s="5"/>
    </row>
    <row r="135" spans="1:9" x14ac:dyDescent="0.25">
      <c r="A135" s="460">
        <v>3.1</v>
      </c>
      <c r="B135" t="s">
        <v>90</v>
      </c>
      <c r="E135" s="460"/>
      <c r="G135" s="460"/>
      <c r="H135" t="s">
        <v>56</v>
      </c>
      <c r="I135" s="5"/>
    </row>
    <row r="136" spans="1:9" x14ac:dyDescent="0.25">
      <c r="A136" s="460">
        <v>3.2</v>
      </c>
      <c r="B136" t="s">
        <v>91</v>
      </c>
      <c r="E136" s="460"/>
      <c r="G136" s="460"/>
      <c r="H136" t="s">
        <v>56</v>
      </c>
      <c r="I136" s="5"/>
    </row>
    <row r="137" spans="1:9" x14ac:dyDescent="0.25">
      <c r="A137" s="644"/>
      <c r="B137" s="643"/>
      <c r="C137" s="643"/>
      <c r="D137" s="643"/>
      <c r="E137" s="644"/>
      <c r="F137" s="643"/>
      <c r="G137" s="644"/>
      <c r="H137" s="643"/>
      <c r="I137" s="5"/>
    </row>
    <row r="138" spans="1:9" x14ac:dyDescent="0.25">
      <c r="A138" s="460">
        <v>4</v>
      </c>
      <c r="B138" s="167" t="s">
        <v>92</v>
      </c>
      <c r="E138" s="460"/>
      <c r="G138" s="460"/>
      <c r="H138" s="1" t="s">
        <v>50</v>
      </c>
      <c r="I138" s="5"/>
    </row>
    <row r="139" spans="1:9" x14ac:dyDescent="0.25">
      <c r="A139" s="460">
        <v>4.0999999999999996</v>
      </c>
      <c r="B139" s="167" t="s">
        <v>93</v>
      </c>
      <c r="E139" s="460"/>
      <c r="G139" s="460"/>
      <c r="H139" s="1" t="s">
        <v>50</v>
      </c>
      <c r="I139" s="5"/>
    </row>
    <row r="140" spans="1:9" x14ac:dyDescent="0.25">
      <c r="A140" s="460" t="s">
        <v>94</v>
      </c>
      <c r="B140" s="167" t="s">
        <v>95</v>
      </c>
      <c r="E140" s="460"/>
      <c r="G140" s="460"/>
      <c r="H140" s="1" t="s">
        <v>50</v>
      </c>
      <c r="I140" s="5"/>
    </row>
    <row r="141" spans="1:9" x14ac:dyDescent="0.25">
      <c r="A141" s="460" t="s">
        <v>96</v>
      </c>
      <c r="B141" s="167" t="s">
        <v>97</v>
      </c>
      <c r="E141" s="460"/>
      <c r="G141" s="460"/>
      <c r="H141" s="1" t="s">
        <v>50</v>
      </c>
      <c r="I141" s="5"/>
    </row>
    <row r="142" spans="1:9" x14ac:dyDescent="0.25">
      <c r="A142" s="460">
        <v>4.2</v>
      </c>
      <c r="B142" s="167" t="s">
        <v>98</v>
      </c>
      <c r="E142" s="460"/>
      <c r="G142" s="460"/>
      <c r="H142" s="1" t="s">
        <v>50</v>
      </c>
      <c r="I142" s="5"/>
    </row>
    <row r="143" spans="1:9" x14ac:dyDescent="0.25">
      <c r="A143" s="460" t="s">
        <v>99</v>
      </c>
      <c r="B143" s="167" t="s">
        <v>100</v>
      </c>
      <c r="E143" s="460"/>
      <c r="G143" s="460"/>
      <c r="H143" t="s">
        <v>101</v>
      </c>
      <c r="I143" s="5"/>
    </row>
    <row r="144" spans="1:9" x14ac:dyDescent="0.25">
      <c r="A144" s="460" t="s">
        <v>102</v>
      </c>
      <c r="B144" s="167" t="s">
        <v>103</v>
      </c>
      <c r="E144" s="460"/>
      <c r="G144" s="460"/>
      <c r="H144" s="1" t="s">
        <v>50</v>
      </c>
      <c r="I144" s="5"/>
    </row>
    <row r="145" spans="1:9" x14ac:dyDescent="0.25">
      <c r="A145" s="460" t="s">
        <v>104</v>
      </c>
      <c r="B145" s="167" t="s">
        <v>105</v>
      </c>
      <c r="E145" s="460"/>
      <c r="G145" s="460"/>
      <c r="H145" t="s">
        <v>101</v>
      </c>
      <c r="I145" s="5"/>
    </row>
    <row r="146" spans="1:9" x14ac:dyDescent="0.25">
      <c r="A146" s="460" t="s">
        <v>106</v>
      </c>
      <c r="B146" s="167" t="s">
        <v>107</v>
      </c>
      <c r="E146" s="460"/>
      <c r="G146" s="460"/>
      <c r="H146" s="1" t="s">
        <v>50</v>
      </c>
      <c r="I146" s="5"/>
    </row>
    <row r="147" spans="1:9" x14ac:dyDescent="0.25">
      <c r="A147" s="460" t="s">
        <v>108</v>
      </c>
      <c r="B147" s="167" t="s">
        <v>109</v>
      </c>
      <c r="E147" s="460"/>
      <c r="G147" s="460"/>
      <c r="H147" s="1" t="s">
        <v>50</v>
      </c>
      <c r="I147" s="5"/>
    </row>
    <row r="148" spans="1:9" x14ac:dyDescent="0.25">
      <c r="A148" s="460" t="s">
        <v>110</v>
      </c>
      <c r="B148" s="167" t="s">
        <v>111</v>
      </c>
      <c r="E148" s="460"/>
      <c r="G148" s="460"/>
      <c r="H148" s="1" t="s">
        <v>50</v>
      </c>
      <c r="I148" s="5"/>
    </row>
    <row r="149" spans="1:9" x14ac:dyDescent="0.25">
      <c r="A149" s="460" t="s">
        <v>112</v>
      </c>
      <c r="B149" s="167" t="s">
        <v>113</v>
      </c>
      <c r="E149" s="460"/>
      <c r="G149" s="460"/>
      <c r="H149" t="s">
        <v>101</v>
      </c>
      <c r="I149" s="5"/>
    </row>
    <row r="150" spans="1:9" x14ac:dyDescent="0.25">
      <c r="A150" s="460">
        <v>4.3</v>
      </c>
      <c r="B150" s="167" t="s">
        <v>114</v>
      </c>
      <c r="E150" s="460"/>
      <c r="G150" s="460"/>
      <c r="H150" t="s">
        <v>101</v>
      </c>
      <c r="I150" s="5"/>
    </row>
    <row r="151" spans="1:9" x14ac:dyDescent="0.25">
      <c r="A151" s="460">
        <v>4.4000000000000004</v>
      </c>
      <c r="B151" s="167" t="s">
        <v>115</v>
      </c>
      <c r="E151" s="460"/>
      <c r="G151" s="460"/>
      <c r="H151" t="s">
        <v>101</v>
      </c>
      <c r="I151" s="5"/>
    </row>
    <row r="152" spans="1:9" x14ac:dyDescent="0.25">
      <c r="A152" s="460">
        <v>4.5</v>
      </c>
      <c r="B152" s="167" t="s">
        <v>116</v>
      </c>
      <c r="E152" s="460"/>
      <c r="G152" s="460"/>
      <c r="H152" t="s">
        <v>101</v>
      </c>
      <c r="I152" s="5"/>
    </row>
    <row r="153" spans="1:9" x14ac:dyDescent="0.25">
      <c r="A153" s="644"/>
      <c r="B153" s="643"/>
      <c r="C153" s="643"/>
      <c r="D153" s="643"/>
      <c r="E153" s="644"/>
      <c r="F153" s="643"/>
      <c r="G153" s="644"/>
      <c r="H153" s="643"/>
      <c r="I153" s="5"/>
    </row>
    <row r="154" spans="1:9" x14ac:dyDescent="0.25">
      <c r="A154" s="460">
        <v>5</v>
      </c>
      <c r="B154" s="167" t="s">
        <v>117</v>
      </c>
      <c r="E154" s="460"/>
      <c r="G154" s="460"/>
      <c r="H154" t="s">
        <v>101</v>
      </c>
      <c r="I154" s="5"/>
    </row>
    <row r="155" spans="1:9" x14ac:dyDescent="0.25">
      <c r="A155" s="460">
        <v>5.0999999999999996</v>
      </c>
      <c r="B155" s="167" t="s">
        <v>118</v>
      </c>
      <c r="E155" s="460"/>
      <c r="G155" s="460"/>
      <c r="H155" t="s">
        <v>101</v>
      </c>
      <c r="I155" s="5"/>
    </row>
    <row r="156" spans="1:9" x14ac:dyDescent="0.25">
      <c r="A156" s="460">
        <v>5.2</v>
      </c>
      <c r="B156" s="167" t="s">
        <v>119</v>
      </c>
      <c r="E156" s="460"/>
      <c r="G156" s="460"/>
      <c r="H156" t="s">
        <v>101</v>
      </c>
      <c r="I156" s="5"/>
    </row>
    <row r="157" spans="1:9" x14ac:dyDescent="0.25">
      <c r="A157" s="460">
        <v>5.3</v>
      </c>
      <c r="B157" s="167" t="s">
        <v>120</v>
      </c>
      <c r="E157" s="460"/>
      <c r="G157" s="460"/>
      <c r="H157" t="s">
        <v>101</v>
      </c>
      <c r="I157" s="5"/>
    </row>
    <row r="158" spans="1:9" x14ac:dyDescent="0.25">
      <c r="A158" s="644"/>
      <c r="B158" s="643"/>
      <c r="C158" s="643"/>
      <c r="D158" s="643"/>
      <c r="E158" s="644"/>
      <c r="F158" s="643"/>
      <c r="G158" s="644"/>
      <c r="H158" s="643"/>
      <c r="I158" s="5"/>
    </row>
    <row r="159" spans="1:9" x14ac:dyDescent="0.25">
      <c r="A159" s="460">
        <v>6</v>
      </c>
      <c r="B159" s="167" t="s">
        <v>121</v>
      </c>
      <c r="E159" s="460"/>
      <c r="G159" s="460"/>
      <c r="H159" s="167" t="s">
        <v>122</v>
      </c>
      <c r="I159" s="5"/>
    </row>
    <row r="160" spans="1:9" x14ac:dyDescent="0.25">
      <c r="A160" s="460">
        <v>6.1</v>
      </c>
      <c r="B160" s="167" t="s">
        <v>123</v>
      </c>
      <c r="E160" s="460"/>
      <c r="G160" s="460"/>
      <c r="H160" s="167" t="s">
        <v>122</v>
      </c>
      <c r="I160" s="5"/>
    </row>
    <row r="161" spans="1:9" x14ac:dyDescent="0.25">
      <c r="A161" s="460">
        <v>6.2</v>
      </c>
      <c r="B161" s="167" t="s">
        <v>124</v>
      </c>
      <c r="E161" s="460"/>
      <c r="G161" s="460"/>
      <c r="H161" s="167" t="s">
        <v>122</v>
      </c>
      <c r="I161" s="5"/>
    </row>
    <row r="162" spans="1:9" x14ac:dyDescent="0.25">
      <c r="A162" s="460">
        <v>6.3</v>
      </c>
      <c r="B162" s="167" t="s">
        <v>125</v>
      </c>
      <c r="E162" s="460"/>
      <c r="G162" s="460"/>
      <c r="H162" s="167" t="s">
        <v>122</v>
      </c>
      <c r="I162" s="5"/>
    </row>
    <row r="163" spans="1:9" x14ac:dyDescent="0.25">
      <c r="A163" s="460">
        <v>6.4</v>
      </c>
      <c r="B163" s="167" t="s">
        <v>126</v>
      </c>
      <c r="E163" s="460"/>
      <c r="G163" s="460"/>
      <c r="H163" s="167" t="s">
        <v>122</v>
      </c>
      <c r="I163" s="5"/>
    </row>
    <row r="164" spans="1:9" x14ac:dyDescent="0.25">
      <c r="A164" s="460">
        <v>6.5</v>
      </c>
      <c r="B164" s="167" t="s">
        <v>127</v>
      </c>
      <c r="E164" s="460"/>
      <c r="G164" s="460"/>
      <c r="H164" s="1" t="s">
        <v>50</v>
      </c>
      <c r="I164" s="5"/>
    </row>
    <row r="165" spans="1:9" x14ac:dyDescent="0.25">
      <c r="A165" s="644"/>
      <c r="B165" s="643"/>
      <c r="C165" s="643"/>
      <c r="D165" s="643"/>
      <c r="E165" s="644"/>
      <c r="F165" s="643"/>
      <c r="G165" s="644"/>
      <c r="H165" s="643"/>
      <c r="I165" s="5"/>
    </row>
    <row r="166" spans="1:9" x14ac:dyDescent="0.25">
      <c r="A166" s="460">
        <v>7</v>
      </c>
      <c r="B166" s="167" t="s">
        <v>128</v>
      </c>
      <c r="E166" s="460"/>
      <c r="G166" s="460"/>
      <c r="H166" t="s">
        <v>101</v>
      </c>
      <c r="I166" s="5"/>
    </row>
    <row r="167" spans="1:9" x14ac:dyDescent="0.25">
      <c r="A167" s="460">
        <v>7.1</v>
      </c>
      <c r="B167" s="167" t="s">
        <v>129</v>
      </c>
      <c r="E167" s="460"/>
      <c r="G167" s="460"/>
      <c r="H167" t="s">
        <v>101</v>
      </c>
      <c r="I167" s="5"/>
    </row>
    <row r="168" spans="1:9" x14ac:dyDescent="0.25">
      <c r="A168" s="460">
        <v>7.2</v>
      </c>
      <c r="B168" s="167" t="s">
        <v>130</v>
      </c>
      <c r="E168" s="460"/>
      <c r="G168" s="460"/>
      <c r="H168" t="s">
        <v>101</v>
      </c>
      <c r="I168" s="5"/>
    </row>
    <row r="169" spans="1:9" x14ac:dyDescent="0.25">
      <c r="A169" s="644"/>
      <c r="B169" s="643"/>
      <c r="C169" s="643"/>
      <c r="D169" s="643"/>
      <c r="E169" s="644"/>
      <c r="F169" s="643"/>
      <c r="G169" s="644"/>
      <c r="H169" s="643"/>
      <c r="I169" s="5"/>
    </row>
    <row r="170" spans="1:9" x14ac:dyDescent="0.25">
      <c r="A170" s="460">
        <v>8</v>
      </c>
      <c r="B170" s="167" t="s">
        <v>131</v>
      </c>
      <c r="E170" s="460"/>
      <c r="G170" s="460"/>
      <c r="I170" s="5"/>
    </row>
    <row r="171" spans="1:9" x14ac:dyDescent="0.25">
      <c r="A171" s="460">
        <v>8.1</v>
      </c>
      <c r="B171" s="167" t="s">
        <v>132</v>
      </c>
      <c r="E171" s="460"/>
      <c r="G171" s="460"/>
      <c r="H171" t="s">
        <v>133</v>
      </c>
      <c r="I171" s="5"/>
    </row>
    <row r="172" spans="1:9" x14ac:dyDescent="0.25">
      <c r="A172" s="460" t="s">
        <v>134</v>
      </c>
      <c r="B172" s="167" t="s">
        <v>135</v>
      </c>
      <c r="E172" s="460"/>
      <c r="G172" s="460"/>
      <c r="H172" t="s">
        <v>133</v>
      </c>
      <c r="I172" s="5"/>
    </row>
    <row r="173" spans="1:9" x14ac:dyDescent="0.25">
      <c r="A173" s="460" t="s">
        <v>136</v>
      </c>
      <c r="B173" s="167" t="s">
        <v>137</v>
      </c>
      <c r="E173" s="460"/>
      <c r="G173" s="460"/>
      <c r="H173" t="s">
        <v>133</v>
      </c>
      <c r="I173" s="5"/>
    </row>
    <row r="174" spans="1:9" x14ac:dyDescent="0.25">
      <c r="A174" s="460" t="s">
        <v>138</v>
      </c>
      <c r="B174" s="167" t="s">
        <v>139</v>
      </c>
      <c r="E174" s="460"/>
      <c r="G174" s="460"/>
      <c r="H174" t="s">
        <v>140</v>
      </c>
      <c r="I174" s="5"/>
    </row>
    <row r="175" spans="1:9" x14ac:dyDescent="0.25">
      <c r="A175" s="460" t="s">
        <v>141</v>
      </c>
      <c r="B175" s="167" t="s">
        <v>142</v>
      </c>
      <c r="E175" s="460"/>
      <c r="G175" s="460"/>
      <c r="H175" t="s">
        <v>143</v>
      </c>
      <c r="I175" s="5"/>
    </row>
    <row r="176" spans="1:9" x14ac:dyDescent="0.25">
      <c r="A176" s="460" t="s">
        <v>144</v>
      </c>
      <c r="B176" s="167" t="s">
        <v>145</v>
      </c>
      <c r="E176" s="460"/>
      <c r="G176" s="460"/>
      <c r="H176" t="s">
        <v>143</v>
      </c>
      <c r="I176" s="5"/>
    </row>
    <row r="177" spans="1:9" x14ac:dyDescent="0.25">
      <c r="A177" s="460">
        <v>8.1999999999999993</v>
      </c>
      <c r="B177" s="167" t="s">
        <v>146</v>
      </c>
      <c r="E177" s="460"/>
      <c r="G177" s="460"/>
      <c r="H177" t="s">
        <v>133</v>
      </c>
      <c r="I177" s="5"/>
    </row>
    <row r="178" spans="1:9" x14ac:dyDescent="0.25">
      <c r="A178" s="460" t="s">
        <v>147</v>
      </c>
      <c r="B178" s="167" t="s">
        <v>148</v>
      </c>
      <c r="E178" s="460"/>
      <c r="G178" s="460"/>
      <c r="H178" t="s">
        <v>133</v>
      </c>
      <c r="I178" s="5"/>
    </row>
    <row r="179" spans="1:9" x14ac:dyDescent="0.25">
      <c r="A179" s="460" t="s">
        <v>149</v>
      </c>
      <c r="B179" s="167" t="s">
        <v>150</v>
      </c>
      <c r="E179" s="460"/>
      <c r="G179" s="460"/>
      <c r="H179" t="s">
        <v>133</v>
      </c>
      <c r="I179" s="5"/>
    </row>
    <row r="180" spans="1:9" x14ac:dyDescent="0.25">
      <c r="A180" s="460" t="s">
        <v>151</v>
      </c>
      <c r="B180" s="167" t="s">
        <v>152</v>
      </c>
      <c r="E180" s="460"/>
      <c r="G180" s="460"/>
      <c r="H180" t="s">
        <v>133</v>
      </c>
      <c r="I180" s="5"/>
    </row>
    <row r="181" spans="1:9" x14ac:dyDescent="0.25">
      <c r="A181" s="460" t="s">
        <v>153</v>
      </c>
      <c r="B181" s="167" t="s">
        <v>154</v>
      </c>
      <c r="E181" s="460"/>
      <c r="G181" s="460"/>
      <c r="H181" t="s">
        <v>133</v>
      </c>
      <c r="I181" s="5"/>
    </row>
    <row r="182" spans="1:9" x14ac:dyDescent="0.25">
      <c r="A182" s="460" t="s">
        <v>155</v>
      </c>
      <c r="B182" s="167" t="s">
        <v>156</v>
      </c>
      <c r="E182" s="460"/>
      <c r="G182" s="460"/>
      <c r="H182" t="s">
        <v>133</v>
      </c>
      <c r="I182" s="5"/>
    </row>
    <row r="183" spans="1:9" x14ac:dyDescent="0.25">
      <c r="A183" s="460" t="s">
        <v>157</v>
      </c>
      <c r="B183" s="167" t="s">
        <v>158</v>
      </c>
      <c r="E183" s="460"/>
      <c r="G183" s="460"/>
      <c r="H183" t="s">
        <v>133</v>
      </c>
      <c r="I183" s="5"/>
    </row>
    <row r="184" spans="1:9" x14ac:dyDescent="0.25">
      <c r="A184" s="460" t="s">
        <v>159</v>
      </c>
      <c r="B184" s="167" t="s">
        <v>160</v>
      </c>
      <c r="E184" s="460"/>
      <c r="G184" s="460"/>
      <c r="H184" t="s">
        <v>133</v>
      </c>
      <c r="I184" s="5"/>
    </row>
    <row r="185" spans="1:9" x14ac:dyDescent="0.25">
      <c r="A185" s="460" t="s">
        <v>161</v>
      </c>
      <c r="B185" s="167" t="s">
        <v>162</v>
      </c>
      <c r="E185" s="460"/>
      <c r="G185" s="460"/>
      <c r="H185" t="s">
        <v>133</v>
      </c>
      <c r="I185" s="5"/>
    </row>
    <row r="186" spans="1:9" x14ac:dyDescent="0.25">
      <c r="A186" s="460" t="s">
        <v>163</v>
      </c>
      <c r="B186" s="167" t="s">
        <v>164</v>
      </c>
      <c r="E186" s="460"/>
      <c r="G186" s="460"/>
      <c r="H186" t="s">
        <v>133</v>
      </c>
      <c r="I186" s="5"/>
    </row>
    <row r="187" spans="1:9" x14ac:dyDescent="0.25">
      <c r="A187" s="460" t="s">
        <v>165</v>
      </c>
      <c r="B187" s="167" t="s">
        <v>166</v>
      </c>
      <c r="E187" s="460"/>
      <c r="G187" s="460"/>
      <c r="H187" t="s">
        <v>133</v>
      </c>
      <c r="I187" s="5"/>
    </row>
    <row r="188" spans="1:9" x14ac:dyDescent="0.25">
      <c r="A188" s="460" t="s">
        <v>167</v>
      </c>
      <c r="B188" s="167" t="s">
        <v>168</v>
      </c>
      <c r="E188" s="460"/>
      <c r="G188" s="460"/>
      <c r="H188" t="s">
        <v>133</v>
      </c>
      <c r="I188" s="5"/>
    </row>
    <row r="189" spans="1:9" x14ac:dyDescent="0.25">
      <c r="A189" s="460" t="s">
        <v>169</v>
      </c>
      <c r="B189" t="s">
        <v>170</v>
      </c>
      <c r="E189" s="460"/>
      <c r="G189" s="460"/>
      <c r="H189" t="s">
        <v>133</v>
      </c>
      <c r="I189" s="5"/>
    </row>
    <row r="190" spans="1:9" x14ac:dyDescent="0.25">
      <c r="A190" s="460">
        <v>8.3000000000000007</v>
      </c>
      <c r="B190" t="s">
        <v>171</v>
      </c>
      <c r="E190" s="460"/>
      <c r="G190" s="460"/>
      <c r="H190" t="s">
        <v>133</v>
      </c>
      <c r="I190" s="5"/>
    </row>
    <row r="191" spans="1:9" x14ac:dyDescent="0.25">
      <c r="A191" s="460" t="s">
        <v>172</v>
      </c>
      <c r="B191" t="s">
        <v>79</v>
      </c>
      <c r="E191" s="460"/>
      <c r="G191" s="460"/>
      <c r="H191" t="s">
        <v>56</v>
      </c>
      <c r="I191" s="5"/>
    </row>
    <row r="192" spans="1:9" x14ac:dyDescent="0.25">
      <c r="A192" s="460" t="s">
        <v>173</v>
      </c>
      <c r="B192" t="s">
        <v>174</v>
      </c>
      <c r="E192" s="460"/>
      <c r="G192" s="460"/>
      <c r="H192" t="s">
        <v>133</v>
      </c>
      <c r="I192" s="5"/>
    </row>
    <row r="193" spans="1:9" x14ac:dyDescent="0.25">
      <c r="A193" s="460" t="s">
        <v>175</v>
      </c>
      <c r="B193" t="s">
        <v>176</v>
      </c>
      <c r="E193" s="460"/>
      <c r="G193" s="460"/>
      <c r="H193" t="s">
        <v>133</v>
      </c>
      <c r="I193" s="5"/>
    </row>
    <row r="194" spans="1:9" x14ac:dyDescent="0.25">
      <c r="A194" s="460">
        <v>8.4</v>
      </c>
      <c r="B194" t="s">
        <v>177</v>
      </c>
      <c r="E194" s="460"/>
      <c r="G194" s="460"/>
      <c r="H194" t="s">
        <v>133</v>
      </c>
      <c r="I194" s="5"/>
    </row>
    <row r="195" spans="1:9" x14ac:dyDescent="0.25">
      <c r="A195" s="460">
        <v>8.5</v>
      </c>
      <c r="B195" t="s">
        <v>178</v>
      </c>
      <c r="E195" s="460"/>
      <c r="G195" s="460"/>
      <c r="H195" t="s">
        <v>179</v>
      </c>
      <c r="I195" s="5"/>
    </row>
    <row r="196" spans="1:9" x14ac:dyDescent="0.25">
      <c r="A196" s="460" t="s">
        <v>180</v>
      </c>
      <c r="B196" t="s">
        <v>181</v>
      </c>
      <c r="E196" s="460"/>
      <c r="G196" s="460"/>
      <c r="H196" t="s">
        <v>179</v>
      </c>
      <c r="I196" s="5"/>
    </row>
    <row r="197" spans="1:9" x14ac:dyDescent="0.25">
      <c r="A197" s="460" t="s">
        <v>182</v>
      </c>
      <c r="B197" t="s">
        <v>183</v>
      </c>
      <c r="E197" s="460"/>
      <c r="G197" s="460"/>
      <c r="H197" t="s">
        <v>184</v>
      </c>
      <c r="I197" s="5"/>
    </row>
    <row r="198" spans="1:9" x14ac:dyDescent="0.25">
      <c r="A198" s="460">
        <v>8.6</v>
      </c>
      <c r="B198" t="s">
        <v>185</v>
      </c>
      <c r="E198" s="460"/>
      <c r="G198" s="460"/>
      <c r="H198" t="s">
        <v>133</v>
      </c>
      <c r="I198" s="5"/>
    </row>
    <row r="199" spans="1:9" x14ac:dyDescent="0.25">
      <c r="A199" s="460">
        <v>8.6999999999999993</v>
      </c>
      <c r="B199" t="s">
        <v>186</v>
      </c>
      <c r="E199" s="460"/>
      <c r="G199" s="460"/>
      <c r="H199" t="s">
        <v>133</v>
      </c>
      <c r="I199" s="5"/>
    </row>
    <row r="200" spans="1:9" x14ac:dyDescent="0.25">
      <c r="A200" s="460">
        <v>8.8000000000000007</v>
      </c>
      <c r="B200" t="s">
        <v>187</v>
      </c>
      <c r="E200" s="460"/>
      <c r="G200" s="460"/>
      <c r="H200" t="s">
        <v>133</v>
      </c>
      <c r="I200" s="5"/>
    </row>
    <row r="201" spans="1:9" x14ac:dyDescent="0.25">
      <c r="A201" s="460">
        <v>8.9</v>
      </c>
      <c r="B201" t="s">
        <v>188</v>
      </c>
      <c r="E201" s="460"/>
      <c r="G201" s="460"/>
      <c r="H201" t="s">
        <v>1928</v>
      </c>
      <c r="I201" s="5"/>
    </row>
    <row r="202" spans="1:9" x14ac:dyDescent="0.25">
      <c r="A202" s="460" t="s">
        <v>189</v>
      </c>
      <c r="B202" t="s">
        <v>190</v>
      </c>
      <c r="E202" s="460"/>
      <c r="G202" s="460"/>
      <c r="H202" t="s">
        <v>143</v>
      </c>
      <c r="I202" s="5"/>
    </row>
    <row r="203" spans="1:9" x14ac:dyDescent="0.25">
      <c r="A203" s="460" t="s">
        <v>191</v>
      </c>
      <c r="B203" t="s">
        <v>192</v>
      </c>
      <c r="E203" s="460"/>
      <c r="G203" s="460"/>
      <c r="H203" t="s">
        <v>143</v>
      </c>
      <c r="I203" s="5"/>
    </row>
    <row r="204" spans="1:9" x14ac:dyDescent="0.25">
      <c r="A204" s="460" t="s">
        <v>193</v>
      </c>
      <c r="B204" t="s">
        <v>194</v>
      </c>
      <c r="E204" s="460"/>
      <c r="G204" s="460"/>
      <c r="H204" t="s">
        <v>133</v>
      </c>
      <c r="I204" s="5"/>
    </row>
    <row r="205" spans="1:9" x14ac:dyDescent="0.25">
      <c r="A205" s="460">
        <v>8.1</v>
      </c>
      <c r="B205" t="s">
        <v>195</v>
      </c>
      <c r="E205" s="460"/>
      <c r="G205" s="460"/>
      <c r="H205" t="s">
        <v>196</v>
      </c>
      <c r="I205" s="5"/>
    </row>
    <row r="206" spans="1:9" x14ac:dyDescent="0.25">
      <c r="A206" s="644"/>
      <c r="B206" s="643"/>
      <c r="C206" s="643"/>
      <c r="D206" s="643"/>
      <c r="E206" s="644"/>
      <c r="F206" s="643"/>
      <c r="G206" s="644"/>
      <c r="H206" s="643"/>
      <c r="I206" s="5"/>
    </row>
    <row r="207" spans="1:9" x14ac:dyDescent="0.25">
      <c r="A207" s="460">
        <v>9</v>
      </c>
      <c r="B207" t="s">
        <v>197</v>
      </c>
      <c r="E207" s="460"/>
      <c r="G207" s="460"/>
      <c r="H207" t="s">
        <v>56</v>
      </c>
      <c r="I207" s="5"/>
    </row>
    <row r="208" spans="1:9" x14ac:dyDescent="0.25">
      <c r="A208" s="644"/>
      <c r="B208" s="643"/>
      <c r="C208" s="643"/>
      <c r="D208" s="643"/>
      <c r="E208" s="644"/>
      <c r="F208" s="643"/>
      <c r="G208" s="644"/>
      <c r="H208" s="643"/>
      <c r="I208" s="5"/>
    </row>
    <row r="209" spans="1:9" x14ac:dyDescent="0.25">
      <c r="A209" s="460">
        <v>10</v>
      </c>
      <c r="B209" t="s">
        <v>198</v>
      </c>
      <c r="E209" s="460"/>
      <c r="G209" s="460"/>
      <c r="H209" t="s">
        <v>199</v>
      </c>
      <c r="I209" s="5"/>
    </row>
    <row r="210" spans="1:9" x14ac:dyDescent="0.25">
      <c r="A210" s="460">
        <v>10.1</v>
      </c>
      <c r="B210" t="s">
        <v>200</v>
      </c>
      <c r="E210" s="460"/>
      <c r="G210" s="460"/>
      <c r="H210" t="s">
        <v>101</v>
      </c>
      <c r="I210" s="5"/>
    </row>
    <row r="211" spans="1:9" x14ac:dyDescent="0.25">
      <c r="A211" s="460">
        <v>10.199999999999999</v>
      </c>
      <c r="B211" t="s">
        <v>201</v>
      </c>
      <c r="E211" s="460"/>
      <c r="G211" s="460"/>
      <c r="H211" t="s">
        <v>199</v>
      </c>
      <c r="I211" s="5"/>
    </row>
    <row r="212" spans="1:9" x14ac:dyDescent="0.25">
      <c r="A212" s="460" t="s">
        <v>202</v>
      </c>
      <c r="B212" t="s">
        <v>203</v>
      </c>
      <c r="E212" s="460"/>
      <c r="G212" s="460"/>
      <c r="H212" t="s">
        <v>199</v>
      </c>
      <c r="I212" s="5"/>
    </row>
    <row r="213" spans="1:9" x14ac:dyDescent="0.25">
      <c r="A213" s="460" t="s">
        <v>204</v>
      </c>
      <c r="B213" t="s">
        <v>205</v>
      </c>
      <c r="E213" s="460"/>
      <c r="G213" s="460"/>
      <c r="H213" t="s">
        <v>199</v>
      </c>
      <c r="I213" s="5"/>
    </row>
    <row r="214" spans="1:9" x14ac:dyDescent="0.25">
      <c r="A214" s="460" t="s">
        <v>206</v>
      </c>
      <c r="B214" t="s">
        <v>207</v>
      </c>
      <c r="E214" s="460"/>
      <c r="G214" s="460"/>
      <c r="H214" t="s">
        <v>199</v>
      </c>
      <c r="I214" s="5"/>
    </row>
    <row r="215" spans="1:9" x14ac:dyDescent="0.25">
      <c r="A215" s="460" t="s">
        <v>208</v>
      </c>
      <c r="B215" t="s">
        <v>209</v>
      </c>
      <c r="E215" s="460"/>
      <c r="G215" s="460"/>
      <c r="H215" t="s">
        <v>199</v>
      </c>
      <c r="I215" s="5"/>
    </row>
    <row r="216" spans="1:9" x14ac:dyDescent="0.25">
      <c r="A216" s="460" t="s">
        <v>210</v>
      </c>
      <c r="B216" t="s">
        <v>211</v>
      </c>
      <c r="E216" s="460"/>
      <c r="G216" s="460"/>
      <c r="H216" t="s">
        <v>199</v>
      </c>
      <c r="I216" s="5"/>
    </row>
    <row r="217" spans="1:9" x14ac:dyDescent="0.25">
      <c r="A217" s="460" t="s">
        <v>212</v>
      </c>
      <c r="B217" t="s">
        <v>213</v>
      </c>
      <c r="E217" s="460"/>
      <c r="G217" s="460"/>
      <c r="H217" t="s">
        <v>56</v>
      </c>
      <c r="I217" s="5"/>
    </row>
    <row r="218" spans="1:9" x14ac:dyDescent="0.25">
      <c r="A218" s="460" t="s">
        <v>214</v>
      </c>
      <c r="B218" t="s">
        <v>215</v>
      </c>
      <c r="E218" s="460"/>
      <c r="G218" s="460"/>
      <c r="H218" t="s">
        <v>199</v>
      </c>
      <c r="I218" s="5"/>
    </row>
    <row r="219" spans="1:9" x14ac:dyDescent="0.25">
      <c r="A219" s="460">
        <v>10.3</v>
      </c>
      <c r="B219" t="s">
        <v>216</v>
      </c>
      <c r="E219" s="460"/>
      <c r="G219" s="460"/>
      <c r="H219" t="s">
        <v>101</v>
      </c>
      <c r="I219" s="5"/>
    </row>
    <row r="220" spans="1:9" x14ac:dyDescent="0.25">
      <c r="A220" s="460">
        <v>10.4</v>
      </c>
      <c r="B220" t="s">
        <v>217</v>
      </c>
      <c r="E220" s="460"/>
      <c r="G220" s="460"/>
      <c r="H220" t="s">
        <v>199</v>
      </c>
      <c r="I220" s="5"/>
    </row>
    <row r="221" spans="1:9" x14ac:dyDescent="0.25">
      <c r="A221" s="460" t="s">
        <v>218</v>
      </c>
      <c r="B221" t="s">
        <v>219</v>
      </c>
      <c r="E221" s="460"/>
      <c r="G221" s="460"/>
      <c r="H221" t="s">
        <v>143</v>
      </c>
      <c r="I221" s="5"/>
    </row>
    <row r="222" spans="1:9" x14ac:dyDescent="0.25">
      <c r="A222" s="460" t="s">
        <v>220</v>
      </c>
      <c r="B222" t="s">
        <v>221</v>
      </c>
      <c r="E222" s="460"/>
      <c r="G222" s="460"/>
      <c r="H222" t="s">
        <v>143</v>
      </c>
      <c r="I222" s="5"/>
    </row>
    <row r="223" spans="1:9" x14ac:dyDescent="0.25">
      <c r="A223" s="460" t="s">
        <v>222</v>
      </c>
      <c r="B223" t="s">
        <v>223</v>
      </c>
      <c r="E223" s="460"/>
      <c r="G223" s="460"/>
      <c r="H223" t="s">
        <v>101</v>
      </c>
      <c r="I223" s="5"/>
    </row>
    <row r="224" spans="1:9" x14ac:dyDescent="0.25">
      <c r="A224" s="460" t="s">
        <v>224</v>
      </c>
      <c r="B224" t="s">
        <v>225</v>
      </c>
      <c r="E224" s="460"/>
      <c r="G224" s="460"/>
      <c r="H224" t="s">
        <v>143</v>
      </c>
      <c r="I224" s="5"/>
    </row>
    <row r="225" spans="1:9" x14ac:dyDescent="0.25">
      <c r="A225" s="460" t="s">
        <v>226</v>
      </c>
      <c r="B225" t="s">
        <v>227</v>
      </c>
      <c r="E225" s="460"/>
      <c r="G225" s="460"/>
      <c r="H225" t="s">
        <v>199</v>
      </c>
      <c r="I225" s="5"/>
    </row>
    <row r="226" spans="1:9" x14ac:dyDescent="0.25">
      <c r="A226" s="460" t="s">
        <v>228</v>
      </c>
      <c r="B226" t="s">
        <v>229</v>
      </c>
      <c r="E226" s="460"/>
      <c r="G226" s="460"/>
      <c r="H226" t="s">
        <v>143</v>
      </c>
      <c r="I226" s="5"/>
    </row>
    <row r="227" spans="1:9" x14ac:dyDescent="0.25">
      <c r="A227" s="460" t="s">
        <v>230</v>
      </c>
      <c r="B227" t="s">
        <v>231</v>
      </c>
      <c r="E227" s="460"/>
      <c r="G227" s="460"/>
      <c r="H227" t="s">
        <v>143</v>
      </c>
      <c r="I227" s="5"/>
    </row>
    <row r="228" spans="1:9" x14ac:dyDescent="0.25">
      <c r="A228" s="460">
        <v>10.5</v>
      </c>
      <c r="B228" t="s">
        <v>232</v>
      </c>
      <c r="E228" s="460"/>
      <c r="G228" s="460"/>
      <c r="H228" t="s">
        <v>199</v>
      </c>
      <c r="I228" s="5"/>
    </row>
    <row r="229" spans="1:9" x14ac:dyDescent="0.25">
      <c r="A229" s="460">
        <v>10.6</v>
      </c>
      <c r="B229" t="s">
        <v>233</v>
      </c>
      <c r="E229" s="460"/>
      <c r="G229" s="460"/>
      <c r="H229" t="s">
        <v>199</v>
      </c>
      <c r="I229" s="5"/>
    </row>
    <row r="230" spans="1:9" x14ac:dyDescent="0.25">
      <c r="A230" s="460">
        <v>10.7</v>
      </c>
      <c r="B230" t="s">
        <v>234</v>
      </c>
      <c r="E230" s="460"/>
      <c r="G230" s="460"/>
      <c r="H230" t="s">
        <v>1927</v>
      </c>
      <c r="I230" s="5"/>
    </row>
    <row r="231" spans="1:9" x14ac:dyDescent="0.25">
      <c r="A231" s="460"/>
      <c r="B231" s="460"/>
      <c r="C231" s="460"/>
      <c r="D231" s="460"/>
      <c r="E231" s="460"/>
      <c r="F231" s="460"/>
      <c r="G231" s="460"/>
      <c r="H231" s="460"/>
      <c r="I231" s="5"/>
    </row>
    <row r="232" spans="1:9" x14ac:dyDescent="0.25">
      <c r="A232" s="460"/>
      <c r="B232" s="460"/>
      <c r="C232" s="460"/>
      <c r="D232" s="460"/>
      <c r="E232" s="460"/>
      <c r="F232" s="460"/>
      <c r="G232" s="460"/>
      <c r="H232" s="460"/>
      <c r="I232" s="5"/>
    </row>
    <row r="233" spans="1:9" x14ac:dyDescent="0.25">
      <c r="A233" s="460"/>
      <c r="B233" s="460"/>
      <c r="C233" s="460"/>
      <c r="D233" s="460"/>
      <c r="E233" s="460"/>
      <c r="F233" s="460"/>
      <c r="G233" s="460"/>
      <c r="H233" s="460"/>
      <c r="I233" s="5"/>
    </row>
    <row r="234" spans="1:9" x14ac:dyDescent="0.25">
      <c r="A234" s="460"/>
      <c r="B234" s="460"/>
      <c r="C234" s="460"/>
      <c r="D234" s="460"/>
      <c r="E234" s="460"/>
      <c r="F234" s="460"/>
      <c r="G234" s="460"/>
      <c r="H234" s="460"/>
      <c r="I234" s="5"/>
    </row>
    <row r="235" spans="1:9" x14ac:dyDescent="0.25">
      <c r="A235" s="921" t="s">
        <v>378</v>
      </c>
      <c r="B235" s="921"/>
      <c r="C235" s="921"/>
      <c r="D235" s="921"/>
      <c r="E235" s="921"/>
      <c r="F235" s="921"/>
      <c r="G235" s="921"/>
      <c r="H235" s="921"/>
      <c r="I235" s="5"/>
    </row>
    <row r="236" spans="1:9" x14ac:dyDescent="0.25">
      <c r="A236" s="460"/>
      <c r="B236" s="460"/>
      <c r="C236" s="460"/>
      <c r="D236" s="460"/>
      <c r="E236" s="460"/>
      <c r="F236" s="460"/>
      <c r="G236" s="460"/>
      <c r="H236" s="460"/>
      <c r="I236" s="5"/>
    </row>
    <row r="237" spans="1:9" x14ac:dyDescent="0.25">
      <c r="A237" s="460"/>
      <c r="B237" s="460"/>
      <c r="C237" s="460"/>
      <c r="D237" s="460"/>
      <c r="E237" s="460"/>
      <c r="F237" s="460"/>
      <c r="G237" s="460"/>
      <c r="H237" s="460"/>
      <c r="I237" s="5"/>
    </row>
    <row r="238" spans="1:9" x14ac:dyDescent="0.25">
      <c r="A238" s="460"/>
      <c r="B238" s="460"/>
      <c r="C238" s="460"/>
      <c r="D238" s="460"/>
      <c r="E238" s="460"/>
      <c r="F238" s="460"/>
      <c r="G238" s="460"/>
      <c r="H238" s="460"/>
      <c r="I238" s="5"/>
    </row>
    <row r="239" spans="1:9" x14ac:dyDescent="0.25">
      <c r="A239" s="460"/>
      <c r="B239" s="460"/>
      <c r="C239" s="460"/>
      <c r="D239" s="460"/>
      <c r="E239" s="460"/>
      <c r="F239" s="460"/>
      <c r="G239" s="460"/>
      <c r="H239" s="460"/>
      <c r="I239" s="5"/>
    </row>
    <row r="240" spans="1:9" x14ac:dyDescent="0.25">
      <c r="A240" s="460"/>
      <c r="B240" s="460"/>
      <c r="C240" s="460"/>
      <c r="D240" s="460"/>
      <c r="E240" s="460"/>
      <c r="F240" s="460"/>
      <c r="G240" s="460"/>
      <c r="H240" s="460"/>
      <c r="I240" s="5"/>
    </row>
    <row r="241" spans="1:9" x14ac:dyDescent="0.25">
      <c r="A241" s="460"/>
      <c r="B241" s="460"/>
      <c r="C241" s="460"/>
      <c r="D241" s="460"/>
      <c r="E241" s="460"/>
      <c r="F241" s="460"/>
      <c r="G241" s="460"/>
      <c r="H241" s="460"/>
      <c r="I241" s="5"/>
    </row>
    <row r="242" spans="1:9" x14ac:dyDescent="0.25">
      <c r="A242" s="460"/>
      <c r="B242" s="460"/>
      <c r="C242" s="460"/>
      <c r="D242" s="460"/>
      <c r="E242" s="460"/>
      <c r="F242" s="460"/>
      <c r="G242" s="460"/>
      <c r="H242" s="460"/>
      <c r="I242" s="5"/>
    </row>
    <row r="243" spans="1:9" x14ac:dyDescent="0.25">
      <c r="A243" s="460"/>
      <c r="B243" s="460"/>
      <c r="C243" s="460"/>
      <c r="D243" s="460"/>
      <c r="E243" s="460"/>
      <c r="F243" s="460"/>
      <c r="G243" s="460"/>
      <c r="H243" s="460"/>
      <c r="I243" s="5"/>
    </row>
    <row r="244" spans="1:9" x14ac:dyDescent="0.25">
      <c r="A244" s="460"/>
      <c r="B244" s="460"/>
      <c r="C244" s="460"/>
      <c r="D244" s="460"/>
      <c r="E244" s="460"/>
      <c r="F244" s="460"/>
      <c r="G244" s="460"/>
      <c r="H244" s="460"/>
      <c r="I244" s="5"/>
    </row>
    <row r="245" spans="1:9" x14ac:dyDescent="0.25">
      <c r="A245" s="460"/>
      <c r="B245" s="460"/>
      <c r="C245" s="460"/>
      <c r="D245" s="460"/>
      <c r="E245" s="460"/>
      <c r="F245" s="460"/>
      <c r="G245" s="460"/>
      <c r="H245" s="460"/>
      <c r="I245" s="5"/>
    </row>
    <row r="246" spans="1:9" x14ac:dyDescent="0.25">
      <c r="A246" s="460"/>
      <c r="B246" s="460"/>
      <c r="C246" s="460"/>
      <c r="D246" s="460"/>
      <c r="E246" s="460"/>
      <c r="F246" s="460"/>
      <c r="G246" s="460"/>
      <c r="H246" s="460"/>
      <c r="I246" s="5"/>
    </row>
    <row r="247" spans="1:9" x14ac:dyDescent="0.25">
      <c r="A247" s="460"/>
      <c r="B247" s="460"/>
      <c r="C247" s="460"/>
      <c r="D247" s="460"/>
      <c r="E247" s="460"/>
      <c r="F247" s="460"/>
      <c r="G247" s="460"/>
      <c r="H247" s="460"/>
      <c r="I247" s="5"/>
    </row>
    <row r="248" spans="1:9" x14ac:dyDescent="0.25">
      <c r="A248" s="460"/>
      <c r="B248" s="460"/>
      <c r="C248" s="460"/>
      <c r="D248" s="460"/>
      <c r="E248" s="460"/>
      <c r="F248" s="460"/>
      <c r="G248" s="460"/>
      <c r="H248" s="460"/>
      <c r="I248" s="5"/>
    </row>
    <row r="249" spans="1:9" x14ac:dyDescent="0.25">
      <c r="A249" s="460"/>
      <c r="B249" s="460"/>
      <c r="C249" s="460"/>
      <c r="D249" s="460"/>
      <c r="E249" s="460"/>
      <c r="F249" s="460"/>
      <c r="G249" s="460"/>
      <c r="H249" s="460"/>
      <c r="I249" s="5"/>
    </row>
    <row r="250" spans="1:9" x14ac:dyDescent="0.25">
      <c r="A250" s="460"/>
      <c r="B250" s="460"/>
      <c r="C250" s="460"/>
      <c r="D250" s="460"/>
      <c r="E250" s="460"/>
      <c r="F250" s="460"/>
      <c r="G250" s="460"/>
      <c r="H250" s="460"/>
      <c r="I250" s="5"/>
    </row>
    <row r="251" spans="1:9" x14ac:dyDescent="0.25">
      <c r="A251" s="460"/>
      <c r="B251" s="460"/>
      <c r="C251" s="460"/>
      <c r="D251" s="460"/>
      <c r="E251" s="460"/>
      <c r="F251" s="460"/>
      <c r="G251" s="460"/>
      <c r="H251" s="460"/>
      <c r="I251" s="5"/>
    </row>
    <row r="252" spans="1:9" x14ac:dyDescent="0.25">
      <c r="A252" s="460"/>
      <c r="B252" s="460"/>
      <c r="C252" s="460"/>
      <c r="D252" s="460"/>
      <c r="E252" s="460"/>
      <c r="F252" s="460"/>
      <c r="G252" s="460"/>
      <c r="H252" s="460"/>
      <c r="I252" s="5"/>
    </row>
    <row r="253" spans="1:9" x14ac:dyDescent="0.25">
      <c r="A253" s="460"/>
      <c r="B253" s="460"/>
      <c r="C253" s="460"/>
      <c r="D253" s="460"/>
      <c r="E253" s="460"/>
      <c r="F253" s="460"/>
      <c r="G253" s="460"/>
      <c r="H253" s="460"/>
      <c r="I253" s="5"/>
    </row>
    <row r="254" spans="1:9" x14ac:dyDescent="0.25">
      <c r="A254" s="460"/>
      <c r="B254" s="460"/>
      <c r="C254" s="460"/>
      <c r="D254" s="460"/>
      <c r="E254" s="460"/>
      <c r="F254" s="460"/>
      <c r="G254" s="460"/>
      <c r="H254" s="460"/>
      <c r="I254" s="5"/>
    </row>
    <row r="255" spans="1:9" x14ac:dyDescent="0.25">
      <c r="A255" s="460"/>
      <c r="B255" s="460"/>
      <c r="C255" s="460"/>
      <c r="D255" s="460"/>
      <c r="E255" s="460"/>
      <c r="F255" s="460"/>
      <c r="G255" s="460"/>
      <c r="H255" s="460"/>
      <c r="I255" s="5"/>
    </row>
    <row r="256" spans="1:9" x14ac:dyDescent="0.25">
      <c r="A256" s="460"/>
      <c r="B256" s="460"/>
      <c r="C256" s="460"/>
      <c r="D256" s="460"/>
      <c r="E256" s="460"/>
      <c r="F256" s="460"/>
      <c r="G256" s="460"/>
      <c r="H256" s="460"/>
      <c r="I256" s="5"/>
    </row>
    <row r="257" spans="1:9" x14ac:dyDescent="0.25">
      <c r="A257" s="460"/>
      <c r="B257" s="460"/>
      <c r="C257" s="460"/>
      <c r="D257" s="460"/>
      <c r="E257" s="460"/>
      <c r="F257" s="460"/>
      <c r="G257" s="460"/>
      <c r="H257" s="460"/>
      <c r="I257" s="5"/>
    </row>
    <row r="258" spans="1:9" x14ac:dyDescent="0.25">
      <c r="A258" s="460"/>
      <c r="B258" s="460"/>
      <c r="C258" s="460"/>
      <c r="D258" s="460"/>
      <c r="E258" s="460"/>
      <c r="F258" s="460"/>
      <c r="G258" s="460"/>
      <c r="H258" s="460"/>
      <c r="I258" s="5"/>
    </row>
    <row r="259" spans="1:9" x14ac:dyDescent="0.25">
      <c r="A259" s="460"/>
      <c r="B259" s="460"/>
      <c r="C259" s="460"/>
      <c r="D259" s="460"/>
      <c r="E259" s="460"/>
      <c r="F259" s="460"/>
      <c r="G259" s="460"/>
      <c r="H259" s="460"/>
      <c r="I259" s="5"/>
    </row>
    <row r="260" spans="1:9" x14ac:dyDescent="0.25">
      <c r="A260" s="460"/>
      <c r="B260" s="460"/>
      <c r="C260" s="460"/>
      <c r="D260" s="460"/>
      <c r="E260" s="460"/>
      <c r="F260" s="460"/>
      <c r="G260" s="460"/>
      <c r="H260" s="460"/>
      <c r="I260" s="5"/>
    </row>
    <row r="261" spans="1:9" x14ac:dyDescent="0.25">
      <c r="A261" s="460"/>
      <c r="B261" s="460"/>
      <c r="C261" s="460"/>
      <c r="D261" s="460"/>
      <c r="E261" s="460"/>
      <c r="F261" s="460"/>
      <c r="G261" s="460"/>
      <c r="H261" s="460"/>
      <c r="I261" s="5"/>
    </row>
    <row r="262" spans="1:9" x14ac:dyDescent="0.25">
      <c r="A262" s="460"/>
      <c r="B262" s="460"/>
      <c r="C262" s="460"/>
      <c r="D262" s="460"/>
      <c r="E262" s="460"/>
      <c r="F262" s="460"/>
      <c r="G262" s="460"/>
      <c r="H262" s="460"/>
      <c r="I262" s="5"/>
    </row>
    <row r="263" spans="1:9" x14ac:dyDescent="0.25">
      <c r="A263" s="460"/>
      <c r="B263" s="460"/>
      <c r="C263" s="460"/>
      <c r="D263" s="460"/>
      <c r="E263" s="460"/>
      <c r="F263" s="460"/>
      <c r="G263" s="460"/>
      <c r="H263" s="460"/>
      <c r="I263" s="5"/>
    </row>
    <row r="264" spans="1:9" x14ac:dyDescent="0.25">
      <c r="A264" s="460"/>
      <c r="B264" s="460"/>
      <c r="C264" s="460"/>
      <c r="D264" s="460"/>
      <c r="E264" s="460"/>
      <c r="F264" s="460"/>
      <c r="G264" s="460"/>
      <c r="H264" s="460"/>
      <c r="I264" s="5"/>
    </row>
    <row r="265" spans="1:9" x14ac:dyDescent="0.25">
      <c r="A265" s="460"/>
      <c r="B265" s="460"/>
      <c r="C265" s="460"/>
      <c r="D265" s="460"/>
      <c r="E265" s="460"/>
      <c r="F265" s="460"/>
      <c r="G265" s="460"/>
      <c r="H265" s="460"/>
      <c r="I265" s="5"/>
    </row>
    <row r="266" spans="1:9" x14ac:dyDescent="0.25">
      <c r="A266" s="460"/>
      <c r="B266" s="460"/>
      <c r="C266" s="460"/>
      <c r="D266" s="460"/>
      <c r="E266" s="460"/>
      <c r="F266" s="460"/>
      <c r="G266" s="460"/>
      <c r="H266" s="460"/>
      <c r="I266" s="5"/>
    </row>
    <row r="267" spans="1:9" x14ac:dyDescent="0.25">
      <c r="A267" s="460"/>
      <c r="B267" s="460"/>
      <c r="C267" s="460"/>
      <c r="D267" s="460"/>
      <c r="E267" s="460"/>
      <c r="F267" s="460"/>
      <c r="G267" s="460"/>
      <c r="H267" s="460"/>
      <c r="I267" s="5"/>
    </row>
    <row r="268" spans="1:9" x14ac:dyDescent="0.25">
      <c r="A268" s="460"/>
      <c r="B268" s="460"/>
      <c r="C268" s="460"/>
      <c r="D268" s="460"/>
      <c r="E268" s="460"/>
      <c r="F268" s="460"/>
      <c r="G268" s="460"/>
      <c r="H268" s="460"/>
      <c r="I268" s="5"/>
    </row>
    <row r="269" spans="1:9" x14ac:dyDescent="0.25">
      <c r="A269" s="460"/>
      <c r="B269" s="460"/>
      <c r="C269" s="460"/>
      <c r="D269" s="460"/>
      <c r="E269" s="460"/>
      <c r="F269" s="460"/>
      <c r="G269" s="460"/>
      <c r="H269" s="460"/>
      <c r="I269" s="5"/>
    </row>
    <row r="270" spans="1:9" x14ac:dyDescent="0.25">
      <c r="A270" s="460"/>
      <c r="B270" s="460"/>
      <c r="C270" s="460"/>
      <c r="D270" s="460"/>
      <c r="E270" s="460"/>
      <c r="F270" s="460"/>
      <c r="G270" s="460"/>
      <c r="H270" s="460"/>
      <c r="I270" s="5"/>
    </row>
    <row r="271" spans="1:9" x14ac:dyDescent="0.25">
      <c r="A271" s="460"/>
      <c r="B271" s="460"/>
      <c r="C271" s="460"/>
      <c r="D271" s="460"/>
      <c r="E271" s="460"/>
      <c r="F271" s="460"/>
      <c r="G271" s="460"/>
      <c r="H271" s="460"/>
      <c r="I271" s="5"/>
    </row>
    <row r="272" spans="1:9" x14ac:dyDescent="0.25">
      <c r="A272" s="460"/>
      <c r="B272" s="460"/>
      <c r="C272" s="460"/>
      <c r="D272" s="460"/>
      <c r="E272" s="460"/>
      <c r="F272" s="460"/>
      <c r="G272" s="460"/>
      <c r="H272" s="460"/>
      <c r="I272" s="5"/>
    </row>
    <row r="273" spans="1:9" x14ac:dyDescent="0.25">
      <c r="A273" s="460"/>
      <c r="B273" s="460"/>
      <c r="C273" s="460"/>
      <c r="D273" s="460"/>
      <c r="E273" s="460"/>
      <c r="F273" s="460"/>
      <c r="G273" s="460"/>
      <c r="H273" s="460"/>
      <c r="I273" s="5"/>
    </row>
    <row r="274" spans="1:9" x14ac:dyDescent="0.25">
      <c r="A274" s="460"/>
      <c r="B274" s="460"/>
      <c r="C274" s="460"/>
      <c r="D274" s="460"/>
      <c r="E274" s="460"/>
      <c r="F274" s="460"/>
      <c r="G274" s="460"/>
      <c r="H274" s="460"/>
      <c r="I274" s="5"/>
    </row>
    <row r="275" spans="1:9" x14ac:dyDescent="0.25">
      <c r="A275" s="460"/>
      <c r="B275" s="460"/>
      <c r="C275" s="460"/>
      <c r="D275" s="460"/>
      <c r="E275" s="460"/>
      <c r="F275" s="460"/>
      <c r="G275" s="460"/>
      <c r="H275" s="460"/>
      <c r="I275" s="5"/>
    </row>
    <row r="276" spans="1:9" x14ac:dyDescent="0.25">
      <c r="A276" s="460"/>
      <c r="B276" s="460"/>
      <c r="C276" s="460"/>
      <c r="D276" s="460"/>
      <c r="E276" s="460"/>
      <c r="F276" s="460"/>
      <c r="G276" s="460"/>
      <c r="H276" s="460"/>
      <c r="I276" s="5"/>
    </row>
    <row r="277" spans="1:9" x14ac:dyDescent="0.25">
      <c r="A277" s="460"/>
      <c r="B277" s="460"/>
      <c r="C277" s="460"/>
      <c r="D277" s="460"/>
      <c r="E277" s="460"/>
      <c r="F277" s="460"/>
      <c r="G277" s="460"/>
      <c r="H277" s="460"/>
      <c r="I277" s="5"/>
    </row>
    <row r="278" spans="1:9" x14ac:dyDescent="0.25">
      <c r="A278" s="460"/>
      <c r="B278" s="460"/>
      <c r="C278" s="460"/>
      <c r="D278" s="460"/>
      <c r="E278" s="460"/>
      <c r="F278" s="460"/>
      <c r="G278" s="460"/>
      <c r="H278" s="460"/>
      <c r="I278" s="5"/>
    </row>
    <row r="279" spans="1:9" x14ac:dyDescent="0.25">
      <c r="A279" s="460"/>
      <c r="B279" s="460"/>
      <c r="C279" s="460"/>
      <c r="D279" s="460"/>
      <c r="E279" s="460"/>
      <c r="F279" s="460"/>
      <c r="G279" s="460"/>
      <c r="H279" s="460"/>
      <c r="I279" s="5"/>
    </row>
    <row r="280" spans="1:9" x14ac:dyDescent="0.25">
      <c r="A280" s="460"/>
      <c r="B280" s="460"/>
      <c r="C280" s="460"/>
      <c r="D280" s="460"/>
      <c r="E280" s="460"/>
      <c r="F280" s="460"/>
      <c r="G280" s="460"/>
      <c r="H280" s="460"/>
      <c r="I280" s="5"/>
    </row>
    <row r="281" spans="1:9" x14ac:dyDescent="0.25">
      <c r="A281" s="460"/>
      <c r="B281" s="460"/>
      <c r="C281" s="460"/>
      <c r="D281" s="460"/>
      <c r="E281" s="460"/>
      <c r="F281" s="460"/>
      <c r="G281" s="460"/>
      <c r="H281" s="460"/>
      <c r="I281" s="5"/>
    </row>
    <row r="282" spans="1:9" x14ac:dyDescent="0.25">
      <c r="A282" s="460"/>
      <c r="B282" s="460"/>
      <c r="C282" s="460"/>
      <c r="D282" s="460"/>
      <c r="E282" s="460"/>
      <c r="F282" s="460"/>
      <c r="G282" s="460"/>
      <c r="H282" s="460"/>
      <c r="I282" s="5"/>
    </row>
    <row r="283" spans="1:9" x14ac:dyDescent="0.25">
      <c r="A283" s="460"/>
      <c r="B283" s="460"/>
      <c r="C283" s="460"/>
      <c r="D283" s="460"/>
      <c r="E283" s="460"/>
      <c r="F283" s="460"/>
      <c r="G283" s="460"/>
      <c r="H283" s="460"/>
      <c r="I283" s="5"/>
    </row>
    <row r="284" spans="1:9" x14ac:dyDescent="0.25">
      <c r="A284" s="460"/>
      <c r="B284" s="460"/>
      <c r="C284" s="460"/>
      <c r="D284" s="460"/>
      <c r="E284" s="460"/>
      <c r="F284" s="460"/>
      <c r="G284" s="460"/>
      <c r="H284" s="460"/>
      <c r="I284" s="5"/>
    </row>
    <row r="285" spans="1:9" x14ac:dyDescent="0.25">
      <c r="A285" s="460"/>
      <c r="B285" s="460"/>
      <c r="C285" s="460"/>
      <c r="D285" s="460"/>
      <c r="E285" s="460"/>
      <c r="F285" s="460"/>
      <c r="G285" s="460"/>
      <c r="H285" s="460"/>
      <c r="I285" s="5"/>
    </row>
    <row r="286" spans="1:9" x14ac:dyDescent="0.25">
      <c r="A286" s="460"/>
      <c r="B286" s="460"/>
      <c r="C286" s="460"/>
      <c r="D286" s="460"/>
      <c r="E286" s="460"/>
      <c r="F286" s="460"/>
      <c r="G286" s="460"/>
      <c r="H286" s="460"/>
      <c r="I286" s="5"/>
    </row>
    <row r="287" spans="1:9" x14ac:dyDescent="0.25">
      <c r="A287" s="460"/>
      <c r="B287" s="460"/>
      <c r="C287" s="460"/>
      <c r="D287" s="460"/>
      <c r="E287" s="460"/>
      <c r="F287" s="460"/>
      <c r="G287" s="460"/>
      <c r="H287" s="460"/>
      <c r="I287" s="5"/>
    </row>
    <row r="288" spans="1:9" x14ac:dyDescent="0.25">
      <c r="A288" s="460"/>
      <c r="B288" s="460"/>
      <c r="C288" s="460"/>
      <c r="D288" s="460"/>
      <c r="E288" s="460"/>
      <c r="F288" s="460"/>
      <c r="G288" s="460"/>
      <c r="H288" s="460"/>
      <c r="I288" s="5"/>
    </row>
    <row r="289" spans="1:9" x14ac:dyDescent="0.25">
      <c r="A289" s="931" t="s">
        <v>379</v>
      </c>
      <c r="B289" s="931"/>
      <c r="C289" s="931"/>
      <c r="D289" s="931"/>
      <c r="E289" s="931"/>
      <c r="F289" s="931"/>
      <c r="G289" s="931"/>
      <c r="H289" s="931"/>
      <c r="I289" s="5"/>
    </row>
    <row r="290" spans="1:9" x14ac:dyDescent="0.25">
      <c r="A290" s="928"/>
      <c r="B290" s="929"/>
      <c r="C290" s="929"/>
      <c r="D290" s="929"/>
      <c r="E290" s="929"/>
      <c r="F290" s="929"/>
      <c r="G290" s="929"/>
      <c r="H290" s="929"/>
      <c r="I290" s="5"/>
    </row>
    <row r="291" spans="1:9" x14ac:dyDescent="0.25">
      <c r="A291" s="928"/>
      <c r="B291" s="929"/>
      <c r="C291" s="929"/>
      <c r="D291" s="929"/>
      <c r="E291" s="929"/>
      <c r="F291" s="929"/>
      <c r="G291" s="929"/>
      <c r="H291" s="929"/>
      <c r="I291" s="5"/>
    </row>
    <row r="292" spans="1:9" x14ac:dyDescent="0.25">
      <c r="A292" s="928"/>
      <c r="B292" s="929"/>
      <c r="C292" s="929"/>
      <c r="D292" s="929"/>
      <c r="E292" s="929"/>
      <c r="F292" s="929"/>
      <c r="G292" s="929"/>
      <c r="H292" s="929"/>
      <c r="I292" s="5"/>
    </row>
    <row r="293" spans="1:9" x14ac:dyDescent="0.25">
      <c r="A293" s="928"/>
      <c r="B293" s="929"/>
      <c r="C293" s="929"/>
      <c r="D293" s="929"/>
      <c r="E293" s="929"/>
      <c r="F293" s="929"/>
      <c r="G293" s="929"/>
      <c r="H293" s="929"/>
      <c r="I293" s="5"/>
    </row>
    <row r="294" spans="1:9" x14ac:dyDescent="0.25">
      <c r="A294" s="928"/>
      <c r="B294" s="929"/>
      <c r="C294" s="929"/>
      <c r="D294" s="929"/>
      <c r="E294" s="929"/>
      <c r="F294" s="929"/>
      <c r="G294" s="929"/>
      <c r="H294" s="929"/>
      <c r="I294" s="5"/>
    </row>
    <row r="295" spans="1:9" x14ac:dyDescent="0.25">
      <c r="A295" s="928"/>
      <c r="B295" s="929"/>
      <c r="C295" s="929"/>
      <c r="D295" s="929"/>
      <c r="E295" s="929"/>
      <c r="F295" s="929"/>
      <c r="G295" s="929"/>
      <c r="H295" s="929"/>
      <c r="I295" s="5"/>
    </row>
    <row r="296" spans="1:9" x14ac:dyDescent="0.25">
      <c r="A296" s="928"/>
      <c r="B296" s="929"/>
      <c r="C296" s="929"/>
      <c r="D296" s="929"/>
      <c r="E296" s="929"/>
      <c r="F296" s="929"/>
      <c r="G296" s="929"/>
      <c r="H296" s="929"/>
      <c r="I296" s="5"/>
    </row>
    <row r="297" spans="1:9" x14ac:dyDescent="0.25">
      <c r="A297" s="928"/>
      <c r="B297" s="929"/>
      <c r="C297" s="929"/>
      <c r="D297" s="929"/>
      <c r="E297" s="929"/>
      <c r="F297" s="929"/>
      <c r="G297" s="929"/>
      <c r="H297" s="929"/>
      <c r="I297" s="5"/>
    </row>
    <row r="298" spans="1:9" x14ac:dyDescent="0.25">
      <c r="A298" s="928"/>
      <c r="B298" s="929"/>
      <c r="C298" s="929"/>
      <c r="D298" s="929"/>
      <c r="E298" s="929"/>
      <c r="F298" s="929"/>
      <c r="G298" s="929"/>
      <c r="H298" s="929"/>
      <c r="I298" s="5"/>
    </row>
    <row r="299" spans="1:9" x14ac:dyDescent="0.25">
      <c r="A299" s="928"/>
      <c r="B299" s="929"/>
      <c r="C299" s="929"/>
      <c r="D299" s="929"/>
      <c r="E299" s="929"/>
      <c r="F299" s="929"/>
      <c r="G299" s="929"/>
      <c r="H299" s="929"/>
      <c r="I299" s="5"/>
    </row>
    <row r="300" spans="1:9" x14ac:dyDescent="0.25">
      <c r="A300" s="928"/>
      <c r="B300" s="929"/>
      <c r="C300" s="929"/>
      <c r="D300" s="929"/>
      <c r="E300" s="929"/>
      <c r="F300" s="929"/>
      <c r="G300" s="929"/>
      <c r="H300" s="929"/>
      <c r="I300" s="5"/>
    </row>
    <row r="301" spans="1:9" x14ac:dyDescent="0.25">
      <c r="A301" s="928"/>
      <c r="B301" s="929"/>
      <c r="C301" s="929"/>
      <c r="D301" s="929"/>
      <c r="E301" s="929"/>
      <c r="F301" s="929"/>
      <c r="G301" s="929"/>
      <c r="H301" s="929"/>
      <c r="I301" s="5"/>
    </row>
    <row r="302" spans="1:9" x14ac:dyDescent="0.25">
      <c r="A302" s="928"/>
      <c r="B302" s="929"/>
      <c r="C302" s="929"/>
      <c r="D302" s="929"/>
      <c r="E302" s="929"/>
      <c r="F302" s="929"/>
      <c r="G302" s="929"/>
      <c r="H302" s="929"/>
      <c r="I302" s="5"/>
    </row>
    <row r="303" spans="1:9" x14ac:dyDescent="0.25">
      <c r="A303" s="928"/>
      <c r="B303" s="929"/>
      <c r="C303" s="929"/>
      <c r="D303" s="929"/>
      <c r="E303" s="929"/>
      <c r="F303" s="929"/>
      <c r="G303" s="929"/>
      <c r="H303" s="929"/>
      <c r="I303" s="5"/>
    </row>
    <row r="304" spans="1:9" x14ac:dyDescent="0.25">
      <c r="A304" s="928"/>
      <c r="B304" s="929"/>
      <c r="C304" s="929"/>
      <c r="D304" s="929"/>
      <c r="E304" s="929"/>
      <c r="F304" s="929"/>
      <c r="G304" s="929"/>
      <c r="H304" s="929"/>
      <c r="I304" s="5"/>
    </row>
    <row r="305" spans="1:9" x14ac:dyDescent="0.25">
      <c r="A305" s="928"/>
      <c r="B305" s="929"/>
      <c r="C305" s="929"/>
      <c r="D305" s="929"/>
      <c r="E305" s="929"/>
      <c r="F305" s="929"/>
      <c r="G305" s="929"/>
      <c r="H305" s="929"/>
      <c r="I305" s="5"/>
    </row>
    <row r="306" spans="1:9" x14ac:dyDescent="0.25">
      <c r="A306" s="928"/>
      <c r="B306" s="929"/>
      <c r="C306" s="929"/>
      <c r="D306" s="929"/>
      <c r="E306" s="929"/>
      <c r="F306" s="929"/>
      <c r="G306" s="929"/>
      <c r="H306" s="929"/>
      <c r="I306" s="5"/>
    </row>
    <row r="307" spans="1:9" x14ac:dyDescent="0.25">
      <c r="A307" s="928"/>
      <c r="B307" s="929"/>
      <c r="C307" s="929"/>
      <c r="D307" s="929"/>
      <c r="E307" s="929"/>
      <c r="F307" s="929"/>
      <c r="G307" s="929"/>
      <c r="H307" s="929"/>
      <c r="I307" s="5"/>
    </row>
    <row r="308" spans="1:9" x14ac:dyDescent="0.25">
      <c r="A308" s="928"/>
      <c r="B308" s="929"/>
      <c r="C308" s="929"/>
      <c r="D308" s="929"/>
      <c r="E308" s="929"/>
      <c r="F308" s="929"/>
      <c r="G308" s="929"/>
      <c r="H308" s="929"/>
      <c r="I308" s="5"/>
    </row>
    <row r="309" spans="1:9" x14ac:dyDescent="0.25">
      <c r="A309" s="928"/>
      <c r="B309" s="929"/>
      <c r="C309" s="929"/>
      <c r="D309" s="929"/>
      <c r="E309" s="929"/>
      <c r="F309" s="929"/>
      <c r="G309" s="929"/>
      <c r="H309" s="929"/>
      <c r="I309" s="5"/>
    </row>
    <row r="310" spans="1:9" x14ac:dyDescent="0.25">
      <c r="A310" s="928"/>
      <c r="B310" s="929"/>
      <c r="C310" s="929"/>
      <c r="D310" s="929"/>
      <c r="E310" s="929"/>
      <c r="F310" s="929"/>
      <c r="G310" s="929"/>
      <c r="H310" s="929"/>
      <c r="I310" s="5"/>
    </row>
    <row r="311" spans="1:9" x14ac:dyDescent="0.25">
      <c r="A311" s="928"/>
      <c r="B311" s="929"/>
      <c r="C311" s="929"/>
      <c r="D311" s="929"/>
      <c r="E311" s="929"/>
      <c r="F311" s="929"/>
      <c r="G311" s="929"/>
      <c r="H311" s="929"/>
      <c r="I311" s="5"/>
    </row>
    <row r="312" spans="1:9" x14ac:dyDescent="0.25">
      <c r="A312" s="928"/>
      <c r="B312" s="929"/>
      <c r="C312" s="929"/>
      <c r="D312" s="929"/>
      <c r="E312" s="929"/>
      <c r="F312" s="929"/>
      <c r="G312" s="929"/>
      <c r="H312" s="929"/>
      <c r="I312" s="5"/>
    </row>
    <row r="313" spans="1:9" x14ac:dyDescent="0.25">
      <c r="A313" s="928"/>
      <c r="B313" s="929"/>
      <c r="C313" s="929"/>
      <c r="D313" s="929"/>
      <c r="E313" s="929"/>
      <c r="F313" s="929"/>
      <c r="G313" s="929"/>
      <c r="H313" s="929"/>
      <c r="I313" s="5"/>
    </row>
    <row r="314" spans="1:9" x14ac:dyDescent="0.25">
      <c r="A314" s="928"/>
      <c r="B314" s="929"/>
      <c r="C314" s="929"/>
      <c r="D314" s="929"/>
      <c r="E314" s="929"/>
      <c r="F314" s="929"/>
      <c r="G314" s="929"/>
      <c r="H314" s="929"/>
      <c r="I314" s="5"/>
    </row>
    <row r="315" spans="1:9" x14ac:dyDescent="0.25">
      <c r="A315" s="928"/>
      <c r="B315" s="929"/>
      <c r="C315" s="929"/>
      <c r="D315" s="929"/>
      <c r="E315" s="929"/>
      <c r="F315" s="929"/>
      <c r="G315" s="929"/>
      <c r="H315" s="929"/>
      <c r="I315" s="5"/>
    </row>
    <row r="316" spans="1:9" x14ac:dyDescent="0.25">
      <c r="A316" s="928"/>
      <c r="B316" s="929"/>
      <c r="C316" s="929"/>
      <c r="D316" s="929"/>
      <c r="E316" s="929"/>
      <c r="F316" s="929"/>
      <c r="G316" s="929"/>
      <c r="H316" s="929"/>
      <c r="I316" s="5"/>
    </row>
    <row r="317" spans="1:9" x14ac:dyDescent="0.25">
      <c r="A317" s="928"/>
      <c r="B317" s="929"/>
      <c r="C317" s="929"/>
      <c r="D317" s="929"/>
      <c r="E317" s="929"/>
      <c r="F317" s="929"/>
      <c r="G317" s="929"/>
      <c r="H317" s="929"/>
      <c r="I317" s="5"/>
    </row>
    <row r="318" spans="1:9" x14ac:dyDescent="0.25">
      <c r="A318" s="928"/>
      <c r="B318" s="929"/>
      <c r="C318" s="929"/>
      <c r="D318" s="929"/>
      <c r="E318" s="929"/>
      <c r="F318" s="929"/>
      <c r="G318" s="929"/>
      <c r="H318" s="929"/>
      <c r="I318" s="5"/>
    </row>
    <row r="319" spans="1:9" x14ac:dyDescent="0.25">
      <c r="A319" s="928"/>
      <c r="B319" s="929"/>
      <c r="C319" s="929"/>
      <c r="D319" s="929"/>
      <c r="E319" s="929"/>
      <c r="F319" s="929"/>
      <c r="G319" s="929"/>
      <c r="H319" s="929"/>
      <c r="I319" s="5"/>
    </row>
    <row r="320" spans="1:9" x14ac:dyDescent="0.25">
      <c r="A320" s="928"/>
      <c r="B320" s="929"/>
      <c r="C320" s="929"/>
      <c r="D320" s="929"/>
      <c r="E320" s="929"/>
      <c r="F320" s="929"/>
      <c r="G320" s="929"/>
      <c r="H320" s="929"/>
      <c r="I320" s="5"/>
    </row>
    <row r="321" spans="1:9" x14ac:dyDescent="0.25">
      <c r="A321" s="929"/>
      <c r="B321" s="929"/>
      <c r="C321" s="929"/>
      <c r="D321" s="929"/>
      <c r="E321" s="929"/>
      <c r="F321" s="929"/>
      <c r="G321" s="929"/>
      <c r="H321" s="929"/>
      <c r="I321" s="5"/>
    </row>
    <row r="322" spans="1:9" x14ac:dyDescent="0.25">
      <c r="A322" s="929"/>
      <c r="B322" s="929"/>
      <c r="C322" s="929"/>
      <c r="D322" s="929"/>
      <c r="E322" s="929"/>
      <c r="F322" s="929"/>
      <c r="G322" s="929"/>
      <c r="H322" s="929"/>
      <c r="I322" s="5"/>
    </row>
    <row r="323" spans="1:9" x14ac:dyDescent="0.25">
      <c r="A323" s="929"/>
      <c r="B323" s="929"/>
      <c r="C323" s="929"/>
      <c r="D323" s="929"/>
      <c r="E323" s="929"/>
      <c r="F323" s="929"/>
      <c r="G323" s="929"/>
      <c r="H323" s="929"/>
      <c r="I323" s="5"/>
    </row>
    <row r="324" spans="1:9" x14ac:dyDescent="0.25">
      <c r="A324" s="459"/>
      <c r="B324" s="459"/>
      <c r="C324" s="459"/>
      <c r="D324" s="459"/>
      <c r="E324" s="459"/>
      <c r="F324" s="459"/>
      <c r="G324" s="459"/>
      <c r="H324" s="459"/>
      <c r="I324" s="5"/>
    </row>
    <row r="325" spans="1:9" x14ac:dyDescent="0.25">
      <c r="A325" s="459"/>
      <c r="B325" s="459"/>
      <c r="C325" s="459"/>
      <c r="D325" s="459"/>
      <c r="E325" s="459"/>
      <c r="F325" s="459"/>
      <c r="G325" s="459"/>
      <c r="H325" s="459"/>
      <c r="I325" s="5"/>
    </row>
    <row r="326" spans="1:9" x14ac:dyDescent="0.25">
      <c r="A326" s="459"/>
      <c r="B326" s="459"/>
      <c r="C326" s="459"/>
      <c r="D326" s="459"/>
      <c r="E326" s="459"/>
      <c r="F326" s="459"/>
      <c r="G326" s="459"/>
      <c r="H326" s="459"/>
      <c r="I326" s="5"/>
    </row>
    <row r="327" spans="1:9" x14ac:dyDescent="0.25">
      <c r="A327" s="459"/>
      <c r="B327" s="459"/>
      <c r="C327" s="459"/>
      <c r="D327" s="459"/>
      <c r="E327" s="459"/>
      <c r="F327" s="459"/>
      <c r="G327" s="459"/>
      <c r="H327" s="459"/>
      <c r="I327" s="5"/>
    </row>
    <row r="328" spans="1:9" x14ac:dyDescent="0.25">
      <c r="A328" s="931" t="s">
        <v>380</v>
      </c>
      <c r="B328" s="931"/>
      <c r="C328" s="931"/>
      <c r="D328" s="931"/>
      <c r="E328" s="931"/>
      <c r="F328" s="931"/>
      <c r="G328" s="931"/>
      <c r="H328" s="931"/>
      <c r="I328" s="5"/>
    </row>
    <row r="329" spans="1:9" x14ac:dyDescent="0.25">
      <c r="A329" s="459"/>
      <c r="B329" s="459"/>
      <c r="C329" s="459"/>
      <c r="D329" s="459"/>
      <c r="E329" s="459"/>
      <c r="F329" s="459"/>
      <c r="G329" s="459"/>
      <c r="H329" s="459"/>
      <c r="I329" s="5"/>
    </row>
    <row r="330" spans="1:9" x14ac:dyDescent="0.25">
      <c r="A330" s="459"/>
      <c r="B330" s="459"/>
      <c r="C330" s="459"/>
      <c r="D330" s="459"/>
      <c r="E330" s="459"/>
      <c r="F330" s="459"/>
      <c r="G330" s="459"/>
      <c r="H330" s="459"/>
      <c r="I330" s="5"/>
    </row>
    <row r="331" spans="1:9" x14ac:dyDescent="0.25">
      <c r="A331" s="459"/>
      <c r="B331" s="459"/>
      <c r="C331" s="459"/>
      <c r="D331" s="459"/>
      <c r="E331" s="459"/>
      <c r="F331" s="459"/>
      <c r="G331" s="459"/>
      <c r="H331" s="459"/>
      <c r="I331" s="5"/>
    </row>
    <row r="332" spans="1:9" x14ac:dyDescent="0.25">
      <c r="A332" s="459"/>
      <c r="B332" s="459"/>
      <c r="C332" s="459"/>
      <c r="D332" s="459"/>
      <c r="E332" s="459"/>
      <c r="F332" s="459"/>
      <c r="G332" s="459"/>
      <c r="H332" s="459"/>
      <c r="I332" s="5"/>
    </row>
    <row r="333" spans="1:9" x14ac:dyDescent="0.25">
      <c r="A333" s="459"/>
      <c r="B333" s="459"/>
      <c r="C333" s="459"/>
      <c r="D333" s="459"/>
      <c r="E333" s="459"/>
      <c r="F333" s="459"/>
      <c r="G333" s="459"/>
      <c r="H333" s="459"/>
      <c r="I333" s="5"/>
    </row>
    <row r="334" spans="1:9" x14ac:dyDescent="0.25">
      <c r="A334" s="459"/>
      <c r="B334" s="459"/>
      <c r="C334" s="459"/>
      <c r="D334" s="459"/>
      <c r="E334" s="459"/>
      <c r="F334" s="459"/>
      <c r="G334" s="459"/>
      <c r="H334" s="459"/>
      <c r="I334" s="5"/>
    </row>
    <row r="335" spans="1:9" x14ac:dyDescent="0.25">
      <c r="A335" s="459"/>
      <c r="B335" s="459"/>
      <c r="C335" s="459"/>
      <c r="D335" s="459"/>
      <c r="E335" s="459"/>
      <c r="F335" s="459"/>
      <c r="G335" s="459"/>
      <c r="H335" s="459"/>
      <c r="I335" s="5"/>
    </row>
    <row r="336" spans="1:9" x14ac:dyDescent="0.25">
      <c r="A336" s="459"/>
      <c r="B336" s="459"/>
      <c r="C336" s="459"/>
      <c r="D336" s="459"/>
      <c r="E336" s="459"/>
      <c r="F336" s="459"/>
      <c r="G336" s="459"/>
      <c r="H336" s="459"/>
      <c r="I336" s="5"/>
    </row>
    <row r="337" spans="1:9" x14ac:dyDescent="0.25">
      <c r="A337" s="459"/>
      <c r="B337" s="459"/>
      <c r="C337" s="459"/>
      <c r="D337" s="459"/>
      <c r="E337" s="459"/>
      <c r="F337" s="459"/>
      <c r="G337" s="459"/>
      <c r="H337" s="459"/>
      <c r="I337" s="5"/>
    </row>
    <row r="338" spans="1:9" x14ac:dyDescent="0.25">
      <c r="A338" s="459"/>
      <c r="B338" s="459"/>
      <c r="C338" s="459"/>
      <c r="D338" s="459"/>
      <c r="E338" s="459"/>
      <c r="F338" s="459"/>
      <c r="G338" s="459"/>
      <c r="H338" s="459"/>
      <c r="I338" s="5"/>
    </row>
    <row r="339" spans="1:9" x14ac:dyDescent="0.25">
      <c r="A339" s="459"/>
      <c r="B339" s="459"/>
      <c r="C339" s="459"/>
      <c r="D339" s="459"/>
      <c r="E339" s="459"/>
      <c r="F339" s="459"/>
      <c r="G339" s="459"/>
      <c r="H339" s="459"/>
      <c r="I339" s="5"/>
    </row>
    <row r="340" spans="1:9" x14ac:dyDescent="0.25">
      <c r="A340" s="459"/>
      <c r="B340" s="459"/>
      <c r="C340" s="459"/>
      <c r="D340" s="459"/>
      <c r="E340" s="459"/>
      <c r="F340" s="459"/>
      <c r="G340" s="459"/>
      <c r="H340" s="459"/>
      <c r="I340" s="5"/>
    </row>
    <row r="341" spans="1:9" x14ac:dyDescent="0.25">
      <c r="A341" s="459"/>
      <c r="B341" s="459"/>
      <c r="C341" s="459"/>
      <c r="D341" s="459"/>
      <c r="E341" s="459"/>
      <c r="F341" s="459"/>
      <c r="G341" s="459"/>
      <c r="H341" s="459"/>
      <c r="I341" s="5"/>
    </row>
    <row r="342" spans="1:9" x14ac:dyDescent="0.25">
      <c r="A342" s="459"/>
      <c r="B342" s="459"/>
      <c r="C342" s="459"/>
      <c r="D342" s="459"/>
      <c r="E342" s="459"/>
      <c r="F342" s="459"/>
      <c r="G342" s="459"/>
      <c r="H342" s="459"/>
      <c r="I342" s="5"/>
    </row>
    <row r="343" spans="1:9" x14ac:dyDescent="0.25">
      <c r="A343" s="459"/>
      <c r="B343" s="459"/>
      <c r="C343" s="459"/>
      <c r="D343" s="459"/>
      <c r="E343" s="459"/>
      <c r="F343" s="459"/>
      <c r="G343" s="459"/>
      <c r="H343" s="459"/>
      <c r="I343" s="5"/>
    </row>
    <row r="344" spans="1:9" x14ac:dyDescent="0.25">
      <c r="A344" s="459"/>
      <c r="B344" s="459"/>
      <c r="C344" s="459"/>
      <c r="D344" s="459"/>
      <c r="E344" s="459"/>
      <c r="F344" s="459"/>
      <c r="G344" s="459"/>
      <c r="H344" s="459"/>
      <c r="I344" s="5"/>
    </row>
    <row r="345" spans="1:9" x14ac:dyDescent="0.25">
      <c r="A345" s="459"/>
      <c r="B345" s="459"/>
      <c r="C345" s="459"/>
      <c r="D345" s="459"/>
      <c r="E345" s="459"/>
      <c r="F345" s="459"/>
      <c r="G345" s="459"/>
      <c r="H345" s="459"/>
      <c r="I345" s="5"/>
    </row>
    <row r="346" spans="1:9" x14ac:dyDescent="0.25">
      <c r="A346" s="459"/>
      <c r="B346" s="459"/>
      <c r="C346" s="459"/>
      <c r="D346" s="459"/>
      <c r="E346" s="459"/>
      <c r="F346" s="459"/>
      <c r="G346" s="459"/>
      <c r="H346" s="459"/>
      <c r="I346" s="5"/>
    </row>
    <row r="347" spans="1:9" x14ac:dyDescent="0.25">
      <c r="A347" s="459"/>
      <c r="B347" s="459"/>
      <c r="C347" s="459"/>
      <c r="D347" s="459"/>
      <c r="E347" s="459"/>
      <c r="F347" s="459"/>
      <c r="G347" s="459"/>
      <c r="H347" s="459"/>
      <c r="I347" s="5"/>
    </row>
    <row r="348" spans="1:9" x14ac:dyDescent="0.25">
      <c r="A348" s="459"/>
      <c r="B348" s="459"/>
      <c r="C348" s="459"/>
      <c r="D348" s="459"/>
      <c r="E348" s="459"/>
      <c r="F348" s="459"/>
      <c r="G348" s="459"/>
      <c r="H348" s="459"/>
      <c r="I348" s="5"/>
    </row>
    <row r="349" spans="1:9" x14ac:dyDescent="0.25">
      <c r="A349" s="459"/>
      <c r="B349" s="459"/>
      <c r="C349" s="459"/>
      <c r="D349" s="459"/>
      <c r="E349" s="459"/>
      <c r="F349" s="459"/>
      <c r="G349" s="459"/>
      <c r="H349" s="459"/>
      <c r="I349" s="5"/>
    </row>
    <row r="350" spans="1:9" x14ac:dyDescent="0.25">
      <c r="A350" s="459"/>
      <c r="B350" s="459"/>
      <c r="C350" s="459"/>
      <c r="D350" s="459"/>
      <c r="E350" s="459"/>
      <c r="F350" s="459"/>
      <c r="G350" s="459"/>
      <c r="H350" s="459"/>
      <c r="I350" s="5"/>
    </row>
    <row r="351" spans="1:9" x14ac:dyDescent="0.25">
      <c r="A351" s="459"/>
      <c r="B351" s="459"/>
      <c r="C351" s="459"/>
      <c r="D351" s="459"/>
      <c r="E351" s="459"/>
      <c r="F351" s="459"/>
      <c r="G351" s="459"/>
      <c r="H351" s="459"/>
      <c r="I351" s="5"/>
    </row>
    <row r="352" spans="1:9" x14ac:dyDescent="0.25">
      <c r="A352" s="459"/>
      <c r="B352" s="459"/>
      <c r="C352" s="459"/>
      <c r="D352" s="459"/>
      <c r="E352" s="459"/>
      <c r="F352" s="459"/>
      <c r="G352" s="459"/>
      <c r="H352" s="459"/>
      <c r="I352" s="5"/>
    </row>
    <row r="353" spans="1:9" x14ac:dyDescent="0.25">
      <c r="A353" s="459"/>
      <c r="B353" s="459"/>
      <c r="C353" s="459"/>
      <c r="D353" s="459"/>
      <c r="E353" s="459"/>
      <c r="F353" s="459"/>
      <c r="G353" s="459"/>
      <c r="H353" s="459"/>
    </row>
    <row r="354" spans="1:9" x14ac:dyDescent="0.25">
      <c r="A354" s="459"/>
      <c r="B354" s="459"/>
      <c r="C354" s="459"/>
      <c r="D354" s="459"/>
      <c r="E354" s="459"/>
      <c r="F354" s="459"/>
      <c r="G354" s="459"/>
      <c r="H354" s="459"/>
      <c r="I354" s="5"/>
    </row>
    <row r="355" spans="1:9" x14ac:dyDescent="0.25">
      <c r="A355" s="459"/>
      <c r="B355" s="459"/>
      <c r="C355" s="459"/>
      <c r="D355" s="459"/>
      <c r="E355" s="459"/>
      <c r="F355" s="459"/>
      <c r="G355" s="459"/>
      <c r="H355" s="459"/>
      <c r="I355" s="5"/>
    </row>
    <row r="356" spans="1:9" x14ac:dyDescent="0.25">
      <c r="A356" s="931" t="s">
        <v>381</v>
      </c>
      <c r="B356" s="931"/>
      <c r="C356" s="931"/>
      <c r="D356" s="931"/>
      <c r="E356" s="931"/>
      <c r="F356" s="931"/>
      <c r="G356" s="931"/>
      <c r="H356" s="931"/>
      <c r="I356" s="5"/>
    </row>
    <row r="357" spans="1:9" x14ac:dyDescent="0.25">
      <c r="A357" s="928"/>
      <c r="B357" s="929"/>
      <c r="C357" s="929"/>
      <c r="D357" s="929"/>
      <c r="E357" s="929"/>
      <c r="F357" s="929"/>
      <c r="G357" s="929"/>
      <c r="H357" s="929"/>
      <c r="I357" s="5"/>
    </row>
    <row r="358" spans="1:9" x14ac:dyDescent="0.25">
      <c r="A358" s="928"/>
      <c r="B358" s="929"/>
      <c r="C358" s="929"/>
      <c r="D358" s="929"/>
      <c r="E358" s="929"/>
      <c r="F358" s="929"/>
      <c r="G358" s="929"/>
      <c r="H358" s="929"/>
      <c r="I358" s="5"/>
    </row>
    <row r="359" spans="1:9" x14ac:dyDescent="0.25">
      <c r="A359" s="928"/>
      <c r="B359" s="929"/>
      <c r="C359" s="929"/>
      <c r="D359" s="929"/>
      <c r="E359" s="929"/>
      <c r="F359" s="929"/>
      <c r="G359" s="929"/>
      <c r="H359" s="929"/>
      <c r="I359" s="5"/>
    </row>
    <row r="360" spans="1:9" x14ac:dyDescent="0.25">
      <c r="A360" s="928"/>
      <c r="B360" s="929"/>
      <c r="C360" s="929"/>
      <c r="D360" s="929"/>
      <c r="E360" s="929"/>
      <c r="F360" s="929"/>
      <c r="G360" s="929"/>
      <c r="H360" s="929"/>
      <c r="I360" s="5"/>
    </row>
    <row r="361" spans="1:9" x14ac:dyDescent="0.25">
      <c r="A361" s="928"/>
      <c r="B361" s="929"/>
      <c r="C361" s="929"/>
      <c r="D361" s="929"/>
      <c r="E361" s="929"/>
      <c r="F361" s="929"/>
      <c r="G361" s="929"/>
      <c r="H361" s="929"/>
      <c r="I361" s="5"/>
    </row>
    <row r="362" spans="1:9" x14ac:dyDescent="0.25">
      <c r="A362" s="928"/>
      <c r="B362" s="929"/>
      <c r="C362" s="929"/>
      <c r="D362" s="929"/>
      <c r="E362" s="929"/>
      <c r="F362" s="929"/>
      <c r="G362" s="929"/>
      <c r="H362" s="929"/>
      <c r="I362" s="5"/>
    </row>
    <row r="363" spans="1:9" x14ac:dyDescent="0.25">
      <c r="A363" s="928"/>
      <c r="B363" s="929"/>
      <c r="C363" s="929"/>
      <c r="D363" s="929"/>
      <c r="E363" s="929"/>
      <c r="F363" s="929"/>
      <c r="G363" s="929"/>
      <c r="H363" s="929"/>
      <c r="I363" s="5"/>
    </row>
    <row r="364" spans="1:9" x14ac:dyDescent="0.25">
      <c r="A364" s="928"/>
      <c r="B364" s="929"/>
      <c r="C364" s="929"/>
      <c r="D364" s="929"/>
      <c r="E364" s="929"/>
      <c r="F364" s="929"/>
      <c r="G364" s="929"/>
      <c r="H364" s="929"/>
      <c r="I364" s="5"/>
    </row>
    <row r="365" spans="1:9" x14ac:dyDescent="0.25">
      <c r="A365" s="928"/>
      <c r="B365" s="929"/>
      <c r="C365" s="929"/>
      <c r="D365" s="929"/>
      <c r="E365" s="929"/>
      <c r="F365" s="929"/>
      <c r="G365" s="929"/>
      <c r="H365" s="929"/>
      <c r="I365" s="5"/>
    </row>
    <row r="366" spans="1:9" x14ac:dyDescent="0.25">
      <c r="A366" s="928"/>
      <c r="B366" s="929"/>
      <c r="C366" s="929"/>
      <c r="D366" s="929"/>
      <c r="E366" s="929"/>
      <c r="F366" s="929"/>
      <c r="G366" s="929"/>
      <c r="H366" s="929"/>
      <c r="I366" s="5"/>
    </row>
    <row r="367" spans="1:9" x14ac:dyDescent="0.25">
      <c r="A367" s="928"/>
      <c r="B367" s="929"/>
      <c r="C367" s="929"/>
      <c r="D367" s="929"/>
      <c r="E367" s="929"/>
      <c r="F367" s="929"/>
      <c r="G367" s="929"/>
      <c r="H367" s="929"/>
      <c r="I367" s="5"/>
    </row>
    <row r="368" spans="1:9" x14ac:dyDescent="0.25">
      <c r="A368" s="928"/>
      <c r="B368" s="929"/>
      <c r="C368" s="929"/>
      <c r="D368" s="929"/>
      <c r="E368" s="929"/>
      <c r="F368" s="929"/>
      <c r="G368" s="929"/>
      <c r="H368" s="929"/>
      <c r="I368" s="5"/>
    </row>
    <row r="369" spans="1:9" x14ac:dyDescent="0.25">
      <c r="A369" s="928"/>
      <c r="B369" s="929"/>
      <c r="C369" s="929"/>
      <c r="D369" s="929"/>
      <c r="E369" s="929"/>
      <c r="F369" s="929"/>
      <c r="G369" s="929"/>
      <c r="H369" s="929"/>
      <c r="I369" s="5"/>
    </row>
    <row r="370" spans="1:9" x14ac:dyDescent="0.25">
      <c r="A370" s="928"/>
      <c r="B370" s="929"/>
      <c r="C370" s="929"/>
      <c r="D370" s="929"/>
      <c r="E370" s="929"/>
      <c r="F370" s="929"/>
      <c r="G370" s="929"/>
      <c r="H370" s="929"/>
      <c r="I370" s="5"/>
    </row>
    <row r="371" spans="1:9" x14ac:dyDescent="0.25">
      <c r="A371" s="928"/>
      <c r="B371" s="929"/>
      <c r="C371" s="929"/>
      <c r="D371" s="929"/>
      <c r="E371" s="929"/>
      <c r="F371" s="929"/>
      <c r="G371" s="929"/>
      <c r="H371" s="929"/>
      <c r="I371" s="5"/>
    </row>
    <row r="372" spans="1:9" x14ac:dyDescent="0.25">
      <c r="A372" s="928"/>
      <c r="B372" s="929"/>
      <c r="C372" s="929"/>
      <c r="D372" s="929"/>
      <c r="E372" s="929"/>
      <c r="F372" s="929"/>
      <c r="G372" s="929"/>
      <c r="H372" s="929"/>
      <c r="I372" s="5"/>
    </row>
    <row r="373" spans="1:9" x14ac:dyDescent="0.25">
      <c r="A373" s="928"/>
      <c r="B373" s="929"/>
      <c r="C373" s="929"/>
      <c r="D373" s="929"/>
      <c r="E373" s="929"/>
      <c r="F373" s="929"/>
      <c r="G373" s="929"/>
      <c r="H373" s="929"/>
      <c r="I373" s="5"/>
    </row>
    <row r="374" spans="1:9" x14ac:dyDescent="0.25">
      <c r="A374" s="928"/>
      <c r="B374" s="929"/>
      <c r="C374" s="929"/>
      <c r="D374" s="929"/>
      <c r="E374" s="929"/>
      <c r="F374" s="929"/>
      <c r="G374" s="929"/>
      <c r="H374" s="929"/>
      <c r="I374" s="5"/>
    </row>
    <row r="375" spans="1:9" x14ac:dyDescent="0.25">
      <c r="A375" s="928"/>
      <c r="B375" s="929"/>
      <c r="C375" s="929"/>
      <c r="D375" s="929"/>
      <c r="E375" s="929"/>
      <c r="F375" s="929"/>
      <c r="G375" s="929"/>
      <c r="H375" s="929"/>
      <c r="I375" s="5"/>
    </row>
    <row r="376" spans="1:9" x14ac:dyDescent="0.25">
      <c r="A376" s="928"/>
      <c r="B376" s="929"/>
      <c r="C376" s="929"/>
      <c r="D376" s="929"/>
      <c r="E376" s="929"/>
      <c r="F376" s="929"/>
      <c r="G376" s="929"/>
      <c r="H376" s="929"/>
      <c r="I376" s="5"/>
    </row>
    <row r="377" spans="1:9" x14ac:dyDescent="0.25">
      <c r="A377" s="928"/>
      <c r="B377" s="929"/>
      <c r="C377" s="929"/>
      <c r="D377" s="929"/>
      <c r="E377" s="929"/>
      <c r="F377" s="929"/>
      <c r="G377" s="929"/>
      <c r="H377" s="929"/>
      <c r="I377" s="5"/>
    </row>
    <row r="378" spans="1:9" x14ac:dyDescent="0.25">
      <c r="A378" s="928"/>
      <c r="B378" s="929"/>
      <c r="C378" s="929"/>
      <c r="D378" s="929"/>
      <c r="E378" s="929"/>
      <c r="F378" s="929"/>
      <c r="G378" s="929"/>
      <c r="H378" s="929"/>
      <c r="I378" s="5"/>
    </row>
    <row r="379" spans="1:9" x14ac:dyDescent="0.25">
      <c r="A379" s="928"/>
      <c r="B379" s="929"/>
      <c r="C379" s="929"/>
      <c r="D379" s="929"/>
      <c r="E379" s="929"/>
      <c r="F379" s="929"/>
      <c r="G379" s="929"/>
      <c r="H379" s="929"/>
      <c r="I379" s="5"/>
    </row>
    <row r="380" spans="1:9" x14ac:dyDescent="0.25">
      <c r="A380" s="928"/>
      <c r="B380" s="929"/>
      <c r="C380" s="929"/>
      <c r="D380" s="929"/>
      <c r="E380" s="929"/>
      <c r="F380" s="929"/>
      <c r="G380" s="929"/>
      <c r="H380" s="929"/>
      <c r="I380" s="5"/>
    </row>
    <row r="381" spans="1:9" x14ac:dyDescent="0.25">
      <c r="A381" s="928"/>
      <c r="B381" s="929"/>
      <c r="C381" s="929"/>
      <c r="D381" s="929"/>
      <c r="E381" s="929"/>
      <c r="F381" s="929"/>
      <c r="G381" s="929"/>
      <c r="H381" s="929"/>
      <c r="I381" s="5"/>
    </row>
    <row r="382" spans="1:9" x14ac:dyDescent="0.25">
      <c r="A382" s="928"/>
      <c r="B382" s="929"/>
      <c r="C382" s="929"/>
      <c r="D382" s="929"/>
      <c r="E382" s="929"/>
      <c r="F382" s="929"/>
      <c r="G382" s="929"/>
      <c r="H382" s="929"/>
      <c r="I382" s="5"/>
    </row>
    <row r="383" spans="1:9" x14ac:dyDescent="0.25">
      <c r="A383" s="928"/>
      <c r="B383" s="929"/>
      <c r="C383" s="929"/>
      <c r="D383" s="929"/>
      <c r="E383" s="929"/>
      <c r="F383" s="929"/>
      <c r="G383" s="929"/>
      <c r="H383" s="929"/>
      <c r="I383" s="5"/>
    </row>
    <row r="384" spans="1:9" x14ac:dyDescent="0.25">
      <c r="A384" s="928"/>
      <c r="B384" s="929"/>
      <c r="C384" s="929"/>
      <c r="D384" s="929"/>
      <c r="E384" s="929"/>
      <c r="F384" s="929"/>
      <c r="G384" s="929"/>
      <c r="H384" s="929"/>
      <c r="I384" s="5"/>
    </row>
    <row r="385" spans="1:9" x14ac:dyDescent="0.25">
      <c r="A385" s="928"/>
      <c r="B385" s="929"/>
      <c r="C385" s="929"/>
      <c r="D385" s="929"/>
      <c r="E385" s="929"/>
      <c r="F385" s="929"/>
      <c r="G385" s="929"/>
      <c r="H385" s="929"/>
      <c r="I385" s="5"/>
    </row>
    <row r="386" spans="1:9" x14ac:dyDescent="0.25">
      <c r="A386" s="928"/>
      <c r="B386" s="929"/>
      <c r="C386" s="929"/>
      <c r="D386" s="929"/>
      <c r="E386" s="929"/>
      <c r="F386" s="929"/>
      <c r="G386" s="929"/>
      <c r="H386" s="929"/>
      <c r="I386" s="5"/>
    </row>
    <row r="387" spans="1:9" x14ac:dyDescent="0.25">
      <c r="A387" s="928"/>
      <c r="B387" s="929"/>
      <c r="C387" s="929"/>
      <c r="D387" s="929"/>
      <c r="E387" s="929"/>
      <c r="F387" s="929"/>
      <c r="G387" s="929"/>
      <c r="H387" s="929"/>
      <c r="I387" s="5"/>
    </row>
    <row r="388" spans="1:9" x14ac:dyDescent="0.25">
      <c r="A388" s="928"/>
      <c r="B388" s="929"/>
      <c r="C388" s="929"/>
      <c r="D388" s="929"/>
      <c r="E388" s="929"/>
      <c r="F388" s="929"/>
      <c r="G388" s="929"/>
      <c r="H388" s="929"/>
      <c r="I388" s="5"/>
    </row>
    <row r="389" spans="1:9" x14ac:dyDescent="0.25">
      <c r="A389" s="928"/>
      <c r="B389" s="929"/>
      <c r="C389" s="929"/>
      <c r="D389" s="929"/>
      <c r="E389" s="929"/>
      <c r="F389" s="929"/>
      <c r="G389" s="929"/>
      <c r="H389" s="929"/>
      <c r="I389" s="5"/>
    </row>
    <row r="390" spans="1:9" x14ac:dyDescent="0.25">
      <c r="A390" s="928"/>
      <c r="B390" s="929"/>
      <c r="C390" s="929"/>
      <c r="D390" s="929"/>
      <c r="E390" s="929"/>
      <c r="F390" s="929"/>
      <c r="G390" s="929"/>
      <c r="H390" s="929"/>
      <c r="I390" s="5"/>
    </row>
    <row r="391" spans="1:9" x14ac:dyDescent="0.25">
      <c r="A391" s="931" t="s">
        <v>243</v>
      </c>
      <c r="B391" s="931"/>
      <c r="C391" s="931"/>
      <c r="D391" s="931"/>
      <c r="E391" s="931"/>
      <c r="F391" s="931"/>
      <c r="G391" s="931"/>
      <c r="H391" s="931"/>
      <c r="I391" s="5"/>
    </row>
    <row r="392" spans="1:9" x14ac:dyDescent="0.25">
      <c r="A392" s="932"/>
      <c r="B392" s="932"/>
      <c r="C392" s="932"/>
      <c r="D392" s="932"/>
      <c r="E392" s="932"/>
      <c r="F392" s="932"/>
      <c r="G392" s="932"/>
      <c r="H392" s="932"/>
    </row>
    <row r="393" spans="1:9" ht="15" customHeight="1" x14ac:dyDescent="0.25">
      <c r="A393" s="462"/>
      <c r="B393" s="462"/>
      <c r="C393" s="462"/>
      <c r="D393" s="462"/>
      <c r="E393" s="462"/>
      <c r="F393" s="462"/>
      <c r="G393" s="462"/>
      <c r="H393" s="462"/>
    </row>
    <row r="394" spans="1:9" ht="15" customHeight="1" x14ac:dyDescent="0.25">
      <c r="A394" s="462"/>
      <c r="B394" s="462"/>
      <c r="C394" s="462"/>
      <c r="D394" s="462"/>
      <c r="E394" s="462"/>
      <c r="F394" s="462"/>
      <c r="G394" s="462"/>
      <c r="H394" s="462"/>
    </row>
    <row r="395" spans="1:9" ht="15" customHeight="1" x14ac:dyDescent="0.25">
      <c r="A395" s="462"/>
      <c r="B395" s="462"/>
      <c r="C395" s="462"/>
      <c r="D395" s="462"/>
      <c r="E395" s="462"/>
      <c r="F395" s="462"/>
      <c r="G395" s="462"/>
      <c r="H395" s="462"/>
    </row>
    <row r="396" spans="1:9" ht="15" customHeight="1" x14ac:dyDescent="0.25">
      <c r="A396" s="462"/>
      <c r="B396" s="462"/>
      <c r="C396" s="462"/>
      <c r="D396" s="462"/>
      <c r="E396" s="462"/>
      <c r="F396" s="462"/>
      <c r="G396" s="462"/>
      <c r="H396" s="462"/>
    </row>
    <row r="397" spans="1:9" ht="15" customHeight="1" x14ac:dyDescent="0.25">
      <c r="A397" s="462"/>
      <c r="B397" s="462"/>
      <c r="C397" s="462"/>
      <c r="D397" s="462"/>
      <c r="E397" s="462"/>
      <c r="F397" s="462"/>
      <c r="G397" s="462"/>
      <c r="H397" s="462"/>
    </row>
    <row r="398" spans="1:9" ht="15" customHeight="1" x14ac:dyDescent="0.25">
      <c r="A398" s="462"/>
      <c r="B398" s="462"/>
      <c r="C398" s="462"/>
      <c r="D398" s="462"/>
      <c r="E398" s="462"/>
      <c r="F398" s="462"/>
      <c r="G398" s="462"/>
      <c r="H398" s="462"/>
    </row>
    <row r="399" spans="1:9" ht="15" customHeight="1" x14ac:dyDescent="0.25">
      <c r="A399" s="462"/>
      <c r="B399" s="462"/>
      <c r="C399" s="462"/>
      <c r="D399" s="462"/>
      <c r="E399" s="462"/>
      <c r="F399" s="462"/>
      <c r="G399" s="462"/>
      <c r="H399" s="462"/>
    </row>
    <row r="400" spans="1:9" ht="15" customHeight="1" x14ac:dyDescent="0.25">
      <c r="A400" s="462"/>
      <c r="B400" s="462"/>
      <c r="C400" s="462"/>
      <c r="D400" s="462"/>
      <c r="E400" s="462"/>
      <c r="F400" s="462"/>
      <c r="G400" s="462"/>
      <c r="H400" s="462"/>
    </row>
    <row r="401" spans="1:8" ht="15" customHeight="1" x14ac:dyDescent="0.25">
      <c r="A401" s="462"/>
      <c r="B401" s="462"/>
      <c r="C401" s="462"/>
      <c r="D401" s="462"/>
      <c r="E401" s="462"/>
      <c r="F401" s="462"/>
      <c r="G401" s="462"/>
      <c r="H401" s="462"/>
    </row>
    <row r="402" spans="1:8" ht="15" customHeight="1" x14ac:dyDescent="0.25">
      <c r="A402" s="462"/>
      <c r="B402" s="462"/>
      <c r="C402" s="462"/>
      <c r="D402" s="462"/>
      <c r="E402" s="462"/>
      <c r="F402" s="462"/>
      <c r="G402" s="462"/>
      <c r="H402" s="462"/>
    </row>
    <row r="403" spans="1:8" ht="15" customHeight="1" x14ac:dyDescent="0.25">
      <c r="A403" s="462"/>
      <c r="B403" s="462"/>
      <c r="C403" s="462"/>
      <c r="D403" s="462"/>
      <c r="E403" s="462"/>
      <c r="F403" s="462"/>
      <c r="G403" s="462"/>
      <c r="H403" s="462"/>
    </row>
    <row r="404" spans="1:8" ht="15" customHeight="1" x14ac:dyDescent="0.25">
      <c r="A404" s="462"/>
      <c r="B404" s="462"/>
      <c r="C404" s="462"/>
      <c r="D404" s="462"/>
      <c r="E404" s="462"/>
      <c r="F404" s="462"/>
      <c r="G404" s="462"/>
      <c r="H404" s="462"/>
    </row>
    <row r="405" spans="1:8" ht="15" customHeight="1" x14ac:dyDescent="0.25">
      <c r="A405" s="462"/>
      <c r="B405" s="462"/>
      <c r="C405" s="462"/>
      <c r="D405" s="462"/>
      <c r="E405" s="462"/>
      <c r="F405" s="462"/>
      <c r="G405" s="462"/>
      <c r="H405" s="462"/>
    </row>
    <row r="406" spans="1:8" ht="15" customHeight="1" x14ac:dyDescent="0.25">
      <c r="A406" s="462"/>
      <c r="B406" s="462"/>
      <c r="C406" s="462"/>
      <c r="D406" s="462"/>
      <c r="E406" s="462"/>
      <c r="F406" s="462"/>
      <c r="G406" s="462"/>
      <c r="H406" s="462"/>
    </row>
    <row r="407" spans="1:8" ht="15" customHeight="1" x14ac:dyDescent="0.25">
      <c r="A407" s="462"/>
      <c r="B407" s="462"/>
      <c r="C407" s="462"/>
      <c r="D407" s="462"/>
      <c r="E407" s="462"/>
      <c r="F407" s="462"/>
      <c r="G407" s="462"/>
      <c r="H407" s="462"/>
    </row>
    <row r="408" spans="1:8" ht="15" customHeight="1" x14ac:dyDescent="0.25">
      <c r="A408" s="462"/>
      <c r="B408" s="462"/>
      <c r="C408" s="462"/>
      <c r="D408" s="462"/>
      <c r="E408" s="462"/>
      <c r="F408" s="462"/>
      <c r="G408" s="462"/>
      <c r="H408" s="462"/>
    </row>
    <row r="409" spans="1:8" ht="15" customHeight="1" x14ac:dyDescent="0.25">
      <c r="A409" s="462"/>
      <c r="B409" s="462"/>
      <c r="C409" s="462"/>
      <c r="D409" s="462"/>
      <c r="E409" s="462"/>
      <c r="F409" s="462"/>
      <c r="G409" s="462"/>
      <c r="H409" s="462"/>
    </row>
    <row r="410" spans="1:8" ht="15" customHeight="1" x14ac:dyDescent="0.25">
      <c r="A410" s="462"/>
      <c r="B410" s="462"/>
      <c r="C410" s="462"/>
      <c r="D410" s="462"/>
      <c r="E410" s="462"/>
      <c r="F410" s="462"/>
      <c r="G410" s="462"/>
      <c r="H410" s="462"/>
    </row>
    <row r="411" spans="1:8" ht="15" customHeight="1" x14ac:dyDescent="0.25">
      <c r="A411" s="462"/>
      <c r="B411" s="462"/>
      <c r="C411" s="462"/>
      <c r="D411" s="462"/>
      <c r="E411" s="462"/>
      <c r="F411" s="462"/>
      <c r="G411" s="462"/>
      <c r="H411" s="462"/>
    </row>
    <row r="412" spans="1:8" ht="15" customHeight="1" x14ac:dyDescent="0.25">
      <c r="A412" s="462"/>
      <c r="B412" s="462"/>
      <c r="C412" s="462"/>
      <c r="D412" s="462"/>
      <c r="E412" s="462"/>
      <c r="F412" s="462"/>
      <c r="G412" s="462"/>
      <c r="H412" s="462"/>
    </row>
    <row r="413" spans="1:8" ht="15" customHeight="1" x14ac:dyDescent="0.25">
      <c r="A413" s="462"/>
      <c r="B413" s="462"/>
      <c r="C413" s="462"/>
      <c r="D413" s="462"/>
      <c r="E413" s="462"/>
      <c r="F413" s="462"/>
      <c r="G413" s="462"/>
      <c r="H413" s="462"/>
    </row>
    <row r="414" spans="1:8" ht="15" customHeight="1" x14ac:dyDescent="0.25">
      <c r="A414" s="462"/>
      <c r="B414" s="462"/>
      <c r="C414" s="462"/>
      <c r="D414" s="462"/>
      <c r="E414" s="462"/>
      <c r="F414" s="462"/>
      <c r="G414" s="462"/>
      <c r="H414" s="462"/>
    </row>
    <row r="415" spans="1:8" ht="15" customHeight="1" x14ac:dyDescent="0.25">
      <c r="A415" s="462"/>
      <c r="B415" s="462"/>
      <c r="C415" s="462"/>
      <c r="D415" s="462"/>
      <c r="E415" s="462"/>
      <c r="F415" s="462"/>
      <c r="G415" s="462"/>
      <c r="H415" s="462"/>
    </row>
    <row r="416" spans="1:8" ht="15" customHeight="1" x14ac:dyDescent="0.25">
      <c r="A416" s="462"/>
      <c r="B416" s="462"/>
      <c r="C416" s="462"/>
      <c r="D416" s="462"/>
      <c r="E416" s="462"/>
      <c r="F416" s="462"/>
      <c r="G416" s="462"/>
      <c r="H416" s="462"/>
    </row>
    <row r="417" spans="1:8" ht="15" customHeight="1" x14ac:dyDescent="0.25">
      <c r="A417" s="462"/>
      <c r="B417" s="462"/>
      <c r="C417" s="462"/>
      <c r="D417" s="462"/>
      <c r="E417" s="462"/>
      <c r="F417" s="462"/>
      <c r="G417" s="462"/>
      <c r="H417" s="462"/>
    </row>
    <row r="418" spans="1:8" ht="15" customHeight="1" x14ac:dyDescent="0.25">
      <c r="A418" s="462"/>
      <c r="B418" s="462"/>
      <c r="C418" s="462"/>
      <c r="D418" s="462"/>
      <c r="E418" s="462"/>
      <c r="F418" s="462"/>
      <c r="G418" s="462"/>
      <c r="H418" s="462"/>
    </row>
    <row r="419" spans="1:8" ht="15" customHeight="1" x14ac:dyDescent="0.25">
      <c r="A419" s="462"/>
      <c r="B419" s="462"/>
      <c r="C419" s="462"/>
      <c r="D419" s="462"/>
      <c r="E419" s="462"/>
      <c r="F419" s="462"/>
      <c r="G419" s="462"/>
      <c r="H419" s="462"/>
    </row>
    <row r="420" spans="1:8" ht="15" customHeight="1" x14ac:dyDescent="0.25">
      <c r="A420" s="462"/>
      <c r="B420" s="462"/>
      <c r="C420" s="462"/>
      <c r="D420" s="462"/>
      <c r="E420" s="462"/>
      <c r="F420" s="462"/>
      <c r="G420" s="462"/>
      <c r="H420" s="462"/>
    </row>
    <row r="421" spans="1:8" ht="15" customHeight="1" x14ac:dyDescent="0.25">
      <c r="A421" s="462"/>
      <c r="B421" s="462"/>
      <c r="C421" s="462"/>
      <c r="D421" s="462"/>
      <c r="E421" s="462"/>
      <c r="F421" s="462"/>
      <c r="G421" s="462"/>
      <c r="H421" s="462"/>
    </row>
    <row r="422" spans="1:8" ht="15" customHeight="1" x14ac:dyDescent="0.25">
      <c r="A422" s="462"/>
      <c r="B422" s="462"/>
      <c r="C422" s="462"/>
      <c r="D422" s="462"/>
      <c r="E422" s="462"/>
      <c r="F422" s="462"/>
      <c r="G422" s="462"/>
      <c r="H422" s="462"/>
    </row>
    <row r="423" spans="1:8" ht="15" customHeight="1" x14ac:dyDescent="0.25">
      <c r="A423" s="462"/>
      <c r="B423" s="462"/>
      <c r="C423" s="462"/>
      <c r="D423" s="462"/>
      <c r="E423" s="462"/>
      <c r="F423" s="462"/>
      <c r="G423" s="462"/>
      <c r="H423" s="462"/>
    </row>
    <row r="424" spans="1:8" ht="15" customHeight="1" x14ac:dyDescent="0.25">
      <c r="A424" s="462"/>
      <c r="B424" s="462"/>
      <c r="C424" s="462"/>
      <c r="D424" s="462"/>
      <c r="E424" s="462"/>
      <c r="F424" s="462"/>
      <c r="G424" s="462"/>
      <c r="H424" s="462"/>
    </row>
    <row r="425" spans="1:8" ht="15" customHeight="1" x14ac:dyDescent="0.25">
      <c r="A425" s="462"/>
      <c r="B425" s="462"/>
      <c r="C425" s="462"/>
      <c r="D425" s="462"/>
      <c r="E425" s="462"/>
      <c r="F425" s="462"/>
      <c r="G425" s="462"/>
      <c r="H425" s="462"/>
    </row>
    <row r="426" spans="1:8" ht="15" customHeight="1" x14ac:dyDescent="0.25">
      <c r="A426" s="462"/>
      <c r="B426" s="462"/>
      <c r="C426" s="462"/>
      <c r="D426" s="462"/>
      <c r="E426" s="462"/>
      <c r="F426" s="462"/>
      <c r="G426" s="462"/>
      <c r="H426" s="462"/>
    </row>
    <row r="427" spans="1:8" ht="15" customHeight="1" x14ac:dyDescent="0.25">
      <c r="A427" s="462"/>
      <c r="B427" s="462"/>
      <c r="C427" s="462"/>
      <c r="D427" s="462"/>
      <c r="E427" s="462"/>
      <c r="F427" s="462"/>
      <c r="G427" s="462"/>
      <c r="H427" s="462"/>
    </row>
    <row r="428" spans="1:8" ht="15" customHeight="1" x14ac:dyDescent="0.25">
      <c r="A428" s="462"/>
      <c r="B428" s="462"/>
      <c r="C428" s="462"/>
      <c r="D428" s="462"/>
      <c r="E428" s="462"/>
      <c r="F428" s="462"/>
      <c r="G428" s="462"/>
      <c r="H428" s="462"/>
    </row>
    <row r="429" spans="1:8" ht="15" customHeight="1" x14ac:dyDescent="0.25">
      <c r="A429" s="462"/>
      <c r="B429" s="462"/>
      <c r="C429" s="462"/>
      <c r="D429" s="462"/>
      <c r="E429" s="462"/>
      <c r="F429" s="462"/>
      <c r="G429" s="462"/>
      <c r="H429" s="462"/>
    </row>
    <row r="430" spans="1:8" ht="15" customHeight="1" x14ac:dyDescent="0.25">
      <c r="A430" s="462"/>
      <c r="B430" s="462"/>
      <c r="C430" s="462"/>
      <c r="D430" s="462"/>
      <c r="E430" s="462"/>
      <c r="F430" s="462"/>
      <c r="G430" s="462"/>
      <c r="H430" s="462"/>
    </row>
    <row r="431" spans="1:8" ht="15" customHeight="1" x14ac:dyDescent="0.25">
      <c r="A431" s="462"/>
      <c r="B431" s="462"/>
      <c r="C431" s="462"/>
      <c r="D431" s="462"/>
      <c r="E431" s="462"/>
      <c r="F431" s="462"/>
      <c r="G431" s="462"/>
      <c r="H431" s="462"/>
    </row>
    <row r="432" spans="1:8" ht="15" customHeight="1" x14ac:dyDescent="0.25">
      <c r="A432" s="462"/>
      <c r="B432" s="462"/>
      <c r="C432" s="462"/>
      <c r="D432" s="462"/>
      <c r="E432" s="462"/>
      <c r="F432" s="462"/>
      <c r="G432" s="462"/>
      <c r="H432" s="462"/>
    </row>
    <row r="433" spans="1:8" ht="15" customHeight="1" x14ac:dyDescent="0.25">
      <c r="A433" s="462"/>
      <c r="B433" s="462"/>
      <c r="C433" s="462"/>
      <c r="D433" s="462"/>
      <c r="E433" s="462"/>
      <c r="F433" s="462"/>
      <c r="G433" s="462"/>
      <c r="H433" s="462"/>
    </row>
    <row r="434" spans="1:8" ht="15" customHeight="1" x14ac:dyDescent="0.25">
      <c r="A434" s="462"/>
      <c r="B434" s="462"/>
      <c r="C434" s="462"/>
      <c r="D434" s="462"/>
      <c r="E434" s="462"/>
      <c r="F434" s="462"/>
      <c r="G434" s="462"/>
      <c r="H434" s="462"/>
    </row>
    <row r="435" spans="1:8" ht="15" customHeight="1" x14ac:dyDescent="0.25">
      <c r="A435" s="462"/>
      <c r="B435" s="462"/>
      <c r="C435" s="462"/>
      <c r="D435" s="462"/>
      <c r="E435" s="462"/>
      <c r="F435" s="462"/>
      <c r="G435" s="462"/>
      <c r="H435" s="462"/>
    </row>
    <row r="436" spans="1:8" ht="15" customHeight="1" x14ac:dyDescent="0.25">
      <c r="A436" s="462"/>
      <c r="B436" s="462"/>
      <c r="C436" s="462"/>
      <c r="D436" s="462"/>
      <c r="E436" s="462"/>
      <c r="F436" s="462"/>
      <c r="G436" s="462"/>
      <c r="H436" s="462"/>
    </row>
    <row r="437" spans="1:8" ht="15" customHeight="1" x14ac:dyDescent="0.25">
      <c r="A437" s="462"/>
      <c r="B437" s="462"/>
      <c r="C437" s="462"/>
      <c r="D437" s="462"/>
      <c r="E437" s="462"/>
      <c r="F437" s="462"/>
      <c r="G437" s="462"/>
      <c r="H437" s="462"/>
    </row>
    <row r="438" spans="1:8" ht="15" customHeight="1" x14ac:dyDescent="0.25">
      <c r="A438" s="462"/>
      <c r="B438" s="462"/>
      <c r="C438" s="462"/>
      <c r="D438" s="462"/>
      <c r="E438" s="462"/>
      <c r="F438" s="462"/>
      <c r="G438" s="462"/>
      <c r="H438" s="462"/>
    </row>
    <row r="439" spans="1:8" ht="15" customHeight="1" x14ac:dyDescent="0.25">
      <c r="A439" s="462"/>
      <c r="B439" s="462"/>
      <c r="C439" s="462"/>
      <c r="D439" s="462"/>
      <c r="E439" s="462"/>
      <c r="F439" s="462"/>
      <c r="G439" s="462"/>
      <c r="H439" s="462"/>
    </row>
    <row r="440" spans="1:8" ht="15" customHeight="1" x14ac:dyDescent="0.25">
      <c r="A440" s="462"/>
      <c r="B440" s="462"/>
      <c r="C440" s="462"/>
      <c r="D440" s="462"/>
      <c r="E440" s="462"/>
      <c r="F440" s="462"/>
      <c r="G440" s="462"/>
      <c r="H440" s="462"/>
    </row>
    <row r="441" spans="1:8" ht="15" customHeight="1" x14ac:dyDescent="0.25">
      <c r="A441" s="462"/>
      <c r="B441" s="462"/>
      <c r="C441" s="462"/>
      <c r="D441" s="462"/>
      <c r="E441" s="462"/>
      <c r="F441" s="462"/>
      <c r="G441" s="462"/>
      <c r="H441" s="462"/>
    </row>
    <row r="442" spans="1:8" ht="15" customHeight="1" x14ac:dyDescent="0.25">
      <c r="A442" s="462"/>
      <c r="B442" s="462"/>
      <c r="C442" s="462"/>
      <c r="D442" s="462"/>
      <c r="E442" s="462"/>
      <c r="F442" s="462"/>
      <c r="G442" s="462"/>
      <c r="H442" s="462"/>
    </row>
    <row r="443" spans="1:8" ht="15" customHeight="1" x14ac:dyDescent="0.25">
      <c r="A443" s="462"/>
      <c r="B443" s="462"/>
      <c r="C443" s="462"/>
      <c r="D443" s="462"/>
      <c r="E443" s="462"/>
      <c r="F443" s="462"/>
      <c r="G443" s="462"/>
      <c r="H443" s="462"/>
    </row>
    <row r="444" spans="1:8" ht="15" customHeight="1" x14ac:dyDescent="0.25">
      <c r="A444" s="462"/>
      <c r="B444" s="462"/>
      <c r="C444" s="462"/>
      <c r="D444" s="462"/>
      <c r="E444" s="462"/>
      <c r="F444" s="462"/>
      <c r="G444" s="462"/>
      <c r="H444" s="462"/>
    </row>
    <row r="445" spans="1:8" ht="15" customHeight="1" x14ac:dyDescent="0.25">
      <c r="A445" s="462"/>
      <c r="B445" s="462"/>
      <c r="C445" s="462"/>
      <c r="D445" s="462"/>
      <c r="E445" s="462"/>
      <c r="F445" s="462"/>
      <c r="G445" s="462"/>
      <c r="H445" s="462"/>
    </row>
    <row r="446" spans="1:8" ht="15" customHeight="1" x14ac:dyDescent="0.25">
      <c r="A446" s="462"/>
      <c r="B446" s="462"/>
      <c r="C446" s="462"/>
      <c r="D446" s="462"/>
      <c r="E446" s="462"/>
      <c r="F446" s="462"/>
      <c r="G446" s="462"/>
      <c r="H446" s="462"/>
    </row>
    <row r="447" spans="1:8" ht="15" customHeight="1" x14ac:dyDescent="0.25">
      <c r="A447" s="462"/>
      <c r="B447" s="462"/>
      <c r="C447" s="462"/>
      <c r="D447" s="462"/>
      <c r="E447" s="462"/>
      <c r="F447" s="462"/>
      <c r="G447" s="462"/>
      <c r="H447" s="462"/>
    </row>
    <row r="448" spans="1:8" ht="15" customHeight="1" x14ac:dyDescent="0.25">
      <c r="A448" s="462"/>
      <c r="B448" s="462"/>
      <c r="C448" s="462"/>
      <c r="D448" s="462"/>
      <c r="E448" s="462"/>
      <c r="F448" s="462"/>
      <c r="G448" s="462"/>
      <c r="H448" s="462"/>
    </row>
    <row r="449" spans="1:8" ht="15" customHeight="1" x14ac:dyDescent="0.25">
      <c r="A449" s="462"/>
      <c r="B449" s="462"/>
      <c r="C449" s="462"/>
      <c r="D449" s="462"/>
      <c r="E449" s="462"/>
      <c r="F449" s="462"/>
      <c r="G449" s="462"/>
      <c r="H449" s="462"/>
    </row>
    <row r="450" spans="1:8" ht="15" customHeight="1" x14ac:dyDescent="0.25">
      <c r="A450" s="462"/>
      <c r="B450" s="462"/>
      <c r="C450" s="462"/>
      <c r="D450" s="462"/>
      <c r="E450" s="462"/>
      <c r="F450" s="462"/>
      <c r="G450" s="462"/>
      <c r="H450" s="462"/>
    </row>
    <row r="451" spans="1:8" ht="15" customHeight="1" x14ac:dyDescent="0.25">
      <c r="A451" s="462"/>
      <c r="B451" s="462"/>
      <c r="C451" s="462"/>
      <c r="D451" s="462"/>
      <c r="E451" s="462"/>
      <c r="F451" s="462"/>
      <c r="G451" s="462"/>
      <c r="H451" s="462"/>
    </row>
    <row r="452" spans="1:8" ht="15" customHeight="1" x14ac:dyDescent="0.25">
      <c r="A452" s="462"/>
      <c r="B452" s="462"/>
      <c r="C452" s="462"/>
      <c r="D452" s="462"/>
      <c r="E452" s="462"/>
      <c r="F452" s="462"/>
      <c r="G452" s="462"/>
      <c r="H452" s="462"/>
    </row>
    <row r="453" spans="1:8" ht="15" customHeight="1" x14ac:dyDescent="0.25">
      <c r="A453" s="462"/>
      <c r="B453" s="462"/>
      <c r="C453" s="462"/>
      <c r="D453" s="462"/>
      <c r="E453" s="462"/>
      <c r="F453" s="462"/>
      <c r="G453" s="462"/>
      <c r="H453" s="462"/>
    </row>
    <row r="454" spans="1:8" ht="15" customHeight="1" x14ac:dyDescent="0.25">
      <c r="A454" s="462"/>
      <c r="B454" s="462"/>
      <c r="C454" s="462"/>
      <c r="D454" s="462"/>
      <c r="E454" s="462"/>
      <c r="F454" s="462"/>
      <c r="G454" s="462"/>
      <c r="H454" s="462"/>
    </row>
    <row r="455" spans="1:8" ht="15" customHeight="1" x14ac:dyDescent="0.25">
      <c r="A455" s="462"/>
      <c r="B455" s="462"/>
      <c r="C455" s="462"/>
      <c r="D455" s="462"/>
      <c r="E455" s="462"/>
      <c r="F455" s="462"/>
      <c r="G455" s="462"/>
      <c r="H455" s="462"/>
    </row>
    <row r="456" spans="1:8" ht="15" customHeight="1" x14ac:dyDescent="0.25">
      <c r="A456" s="462"/>
      <c r="B456" s="462"/>
      <c r="C456" s="462"/>
      <c r="D456" s="462"/>
      <c r="E456" s="462"/>
      <c r="F456" s="462"/>
      <c r="G456" s="462"/>
      <c r="H456" s="462"/>
    </row>
    <row r="457" spans="1:8" ht="15" customHeight="1" x14ac:dyDescent="0.25">
      <c r="A457" s="462"/>
      <c r="B457" s="462"/>
      <c r="C457" s="462"/>
      <c r="D457" s="462"/>
      <c r="E457" s="462"/>
      <c r="F457" s="462"/>
      <c r="G457" s="462"/>
      <c r="H457" s="462"/>
    </row>
    <row r="458" spans="1:8" ht="15" customHeight="1" x14ac:dyDescent="0.25">
      <c r="A458" s="462"/>
      <c r="B458" s="462"/>
      <c r="C458" s="462"/>
      <c r="D458" s="462"/>
      <c r="E458" s="462"/>
      <c r="F458" s="462"/>
      <c r="G458" s="462"/>
      <c r="H458" s="462"/>
    </row>
    <row r="459" spans="1:8" ht="15" customHeight="1" x14ac:dyDescent="0.25">
      <c r="A459" s="462"/>
      <c r="B459" s="462"/>
      <c r="C459" s="462"/>
      <c r="D459" s="462"/>
      <c r="E459" s="462"/>
      <c r="F459" s="462"/>
      <c r="G459" s="462"/>
      <c r="H459" s="462"/>
    </row>
    <row r="460" spans="1:8" ht="15" customHeight="1" x14ac:dyDescent="0.25">
      <c r="A460" s="462"/>
      <c r="B460" s="462"/>
      <c r="C460" s="462"/>
      <c r="D460" s="462"/>
      <c r="E460" s="462"/>
      <c r="F460" s="462"/>
      <c r="G460" s="462"/>
      <c r="H460" s="462"/>
    </row>
    <row r="461" spans="1:8" ht="15" customHeight="1" x14ac:dyDescent="0.25">
      <c r="A461" s="462"/>
      <c r="B461" s="462"/>
      <c r="C461" s="462"/>
      <c r="D461" s="462"/>
      <c r="E461" s="462"/>
      <c r="F461" s="462"/>
      <c r="G461" s="462"/>
      <c r="H461" s="462"/>
    </row>
    <row r="462" spans="1:8" ht="15" customHeight="1" x14ac:dyDescent="0.25">
      <c r="A462" s="462"/>
      <c r="B462" s="462"/>
      <c r="C462" s="462"/>
      <c r="D462" s="462"/>
      <c r="E462" s="462"/>
      <c r="F462" s="462"/>
      <c r="G462" s="462"/>
      <c r="H462" s="462"/>
    </row>
    <row r="463" spans="1:8" ht="15" customHeight="1" x14ac:dyDescent="0.25">
      <c r="A463" s="462"/>
      <c r="B463" s="462"/>
      <c r="C463" s="462"/>
      <c r="D463" s="462"/>
      <c r="E463" s="462"/>
      <c r="F463" s="462"/>
      <c r="G463" s="462"/>
      <c r="H463" s="462"/>
    </row>
    <row r="464" spans="1:8" ht="15" customHeight="1" x14ac:dyDescent="0.25">
      <c r="A464" s="462"/>
      <c r="B464" s="462"/>
      <c r="C464" s="462"/>
      <c r="D464" s="462"/>
      <c r="E464" s="462"/>
      <c r="F464" s="462"/>
      <c r="G464" s="462"/>
      <c r="H464" s="462"/>
    </row>
    <row r="465" spans="1:8" ht="15" customHeight="1" x14ac:dyDescent="0.25">
      <c r="A465" s="462"/>
      <c r="B465" s="462"/>
      <c r="C465" s="462"/>
      <c r="D465" s="462"/>
      <c r="E465" s="462"/>
      <c r="F465" s="462"/>
      <c r="G465" s="462"/>
      <c r="H465" s="462"/>
    </row>
    <row r="466" spans="1:8" ht="15" customHeight="1" x14ac:dyDescent="0.25">
      <c r="A466" s="462"/>
      <c r="B466" s="462"/>
      <c r="C466" s="462"/>
      <c r="D466" s="462"/>
      <c r="E466" s="462"/>
      <c r="F466" s="462"/>
      <c r="G466" s="462"/>
      <c r="H466" s="462"/>
    </row>
    <row r="467" spans="1:8" ht="15" customHeight="1" x14ac:dyDescent="0.25">
      <c r="A467" s="462"/>
      <c r="B467" s="462"/>
      <c r="C467" s="462"/>
      <c r="D467" s="462"/>
      <c r="E467" s="462"/>
      <c r="F467" s="462"/>
      <c r="G467" s="462"/>
      <c r="H467" s="462"/>
    </row>
    <row r="468" spans="1:8" ht="15" customHeight="1" x14ac:dyDescent="0.25">
      <c r="A468" s="462"/>
      <c r="B468" s="462"/>
      <c r="C468" s="462"/>
      <c r="D468" s="462"/>
      <c r="E468" s="462"/>
      <c r="F468" s="462"/>
      <c r="G468" s="462"/>
      <c r="H468" s="462"/>
    </row>
    <row r="469" spans="1:8" ht="15" customHeight="1" x14ac:dyDescent="0.25">
      <c r="A469" s="462"/>
      <c r="B469" s="462"/>
      <c r="C469" s="462"/>
      <c r="D469" s="462"/>
      <c r="E469" s="462"/>
      <c r="F469" s="462"/>
      <c r="G469" s="462"/>
      <c r="H469" s="462"/>
    </row>
    <row r="470" spans="1:8" ht="15" customHeight="1" x14ac:dyDescent="0.25">
      <c r="A470" s="462"/>
      <c r="B470" s="462"/>
      <c r="C470" s="462"/>
      <c r="D470" s="462"/>
      <c r="E470" s="462"/>
      <c r="F470" s="462"/>
      <c r="G470" s="462"/>
      <c r="H470" s="462"/>
    </row>
    <row r="471" spans="1:8" ht="15" customHeight="1" x14ac:dyDescent="0.25">
      <c r="A471" s="462"/>
      <c r="B471" s="462"/>
      <c r="C471" s="462"/>
      <c r="D471" s="462"/>
      <c r="E471" s="462"/>
      <c r="F471" s="462"/>
      <c r="G471" s="462"/>
      <c r="H471" s="462"/>
    </row>
    <row r="472" spans="1:8" ht="15" customHeight="1" x14ac:dyDescent="0.25">
      <c r="A472" s="462"/>
      <c r="B472" s="462"/>
      <c r="C472" s="462"/>
      <c r="D472" s="462"/>
      <c r="E472" s="462"/>
      <c r="F472" s="462"/>
      <c r="G472" s="462"/>
      <c r="H472" s="462"/>
    </row>
    <row r="473" spans="1:8" ht="15" customHeight="1" x14ac:dyDescent="0.25">
      <c r="A473" s="462"/>
      <c r="B473" s="462"/>
      <c r="C473" s="462"/>
      <c r="D473" s="462"/>
      <c r="E473" s="462"/>
      <c r="F473" s="462"/>
      <c r="G473" s="462"/>
      <c r="H473" s="462"/>
    </row>
    <row r="474" spans="1:8" ht="15" customHeight="1" x14ac:dyDescent="0.25">
      <c r="A474" s="462"/>
      <c r="B474" s="462"/>
      <c r="C474" s="462"/>
      <c r="D474" s="462"/>
      <c r="E474" s="462"/>
      <c r="F474" s="462"/>
      <c r="G474" s="462"/>
      <c r="H474" s="462"/>
    </row>
    <row r="475" spans="1:8" ht="15" customHeight="1" x14ac:dyDescent="0.25">
      <c r="A475" s="462"/>
      <c r="B475" s="462"/>
      <c r="C475" s="462"/>
      <c r="D475" s="462"/>
      <c r="E475" s="462"/>
      <c r="F475" s="462"/>
      <c r="G475" s="462"/>
      <c r="H475" s="462"/>
    </row>
    <row r="476" spans="1:8" ht="15" customHeight="1" x14ac:dyDescent="0.25">
      <c r="A476" s="462"/>
      <c r="B476" s="462"/>
      <c r="C476" s="462"/>
      <c r="D476" s="462"/>
      <c r="E476" s="462"/>
      <c r="F476" s="462"/>
      <c r="G476" s="462"/>
      <c r="H476" s="462"/>
    </row>
    <row r="477" spans="1:8" ht="15" customHeight="1" x14ac:dyDescent="0.25">
      <c r="A477" s="462"/>
      <c r="B477" s="462"/>
      <c r="C477" s="462"/>
      <c r="D477" s="462"/>
      <c r="E477" s="462"/>
      <c r="F477" s="462"/>
      <c r="G477" s="462"/>
      <c r="H477" s="462"/>
    </row>
    <row r="478" spans="1:8" ht="15" customHeight="1" x14ac:dyDescent="0.25">
      <c r="A478" s="462"/>
      <c r="B478" s="462"/>
      <c r="C478" s="462"/>
      <c r="D478" s="462"/>
      <c r="E478" s="462"/>
      <c r="F478" s="462"/>
      <c r="G478" s="462"/>
      <c r="H478" s="462"/>
    </row>
    <row r="479" spans="1:8" ht="15" customHeight="1" x14ac:dyDescent="0.25">
      <c r="A479" s="462"/>
      <c r="B479" s="462"/>
      <c r="C479" s="462"/>
      <c r="D479" s="462"/>
      <c r="E479" s="462"/>
      <c r="F479" s="462"/>
      <c r="G479" s="462"/>
      <c r="H479" s="462"/>
    </row>
    <row r="480" spans="1:8" ht="15" customHeight="1" x14ac:dyDescent="0.25">
      <c r="A480" s="462"/>
      <c r="B480" s="462"/>
      <c r="C480" s="462"/>
      <c r="D480" s="462"/>
      <c r="E480" s="462"/>
      <c r="F480" s="462"/>
      <c r="G480" s="462"/>
      <c r="H480" s="462"/>
    </row>
    <row r="481" spans="1:8" ht="15" customHeight="1" x14ac:dyDescent="0.25">
      <c r="A481" s="462"/>
      <c r="B481" s="462"/>
      <c r="C481" s="462"/>
      <c r="D481" s="462"/>
      <c r="E481" s="462"/>
      <c r="F481" s="462"/>
      <c r="G481" s="462"/>
      <c r="H481" s="462"/>
    </row>
    <row r="482" spans="1:8" ht="15" customHeight="1" x14ac:dyDescent="0.25">
      <c r="A482" s="462"/>
      <c r="B482" s="462"/>
      <c r="C482" s="462"/>
      <c r="D482" s="462"/>
      <c r="E482" s="462"/>
      <c r="F482" s="462"/>
      <c r="G482" s="462"/>
      <c r="H482" s="462"/>
    </row>
    <row r="483" spans="1:8" ht="15" customHeight="1" x14ac:dyDescent="0.25">
      <c r="A483" s="462"/>
      <c r="B483" s="462"/>
      <c r="C483" s="462"/>
      <c r="D483" s="462"/>
      <c r="E483" s="462"/>
      <c r="F483" s="462"/>
      <c r="G483" s="462"/>
      <c r="H483" s="462"/>
    </row>
    <row r="484" spans="1:8" ht="15" customHeight="1" x14ac:dyDescent="0.25">
      <c r="A484" s="462"/>
      <c r="B484" s="462"/>
      <c r="C484" s="462"/>
      <c r="D484" s="462"/>
      <c r="E484" s="462"/>
      <c r="F484" s="462"/>
      <c r="G484" s="462"/>
      <c r="H484" s="462"/>
    </row>
    <row r="485" spans="1:8" ht="15" customHeight="1" x14ac:dyDescent="0.25">
      <c r="A485" s="462"/>
      <c r="B485" s="462"/>
      <c r="C485" s="462"/>
      <c r="D485" s="462"/>
      <c r="E485" s="462"/>
      <c r="F485" s="462"/>
      <c r="G485" s="462"/>
      <c r="H485" s="462"/>
    </row>
    <row r="486" spans="1:8" ht="15" customHeight="1" x14ac:dyDescent="0.25">
      <c r="A486" s="462"/>
      <c r="B486" s="462"/>
      <c r="C486" s="462"/>
      <c r="D486" s="462"/>
      <c r="E486" s="462"/>
      <c r="F486" s="462"/>
      <c r="G486" s="462"/>
      <c r="H486" s="462"/>
    </row>
    <row r="487" spans="1:8" ht="15" customHeight="1" x14ac:dyDescent="0.25">
      <c r="A487" s="462"/>
      <c r="B487" s="462"/>
      <c r="C487" s="462"/>
      <c r="D487" s="462"/>
      <c r="E487" s="462"/>
      <c r="F487" s="462"/>
      <c r="G487" s="462"/>
      <c r="H487" s="462"/>
    </row>
    <row r="488" spans="1:8" ht="15" customHeight="1" x14ac:dyDescent="0.25">
      <c r="A488" s="462"/>
      <c r="B488" s="462"/>
      <c r="C488" s="462"/>
      <c r="D488" s="462"/>
      <c r="E488" s="462"/>
      <c r="F488" s="462"/>
      <c r="G488" s="462"/>
      <c r="H488" s="462"/>
    </row>
    <row r="489" spans="1:8" ht="15" customHeight="1" x14ac:dyDescent="0.25">
      <c r="A489" s="462"/>
      <c r="B489" s="462"/>
      <c r="C489" s="462"/>
      <c r="D489" s="462"/>
      <c r="E489" s="462"/>
      <c r="F489" s="462"/>
      <c r="G489" s="462"/>
      <c r="H489" s="462"/>
    </row>
    <row r="490" spans="1:8" ht="15" customHeight="1" x14ac:dyDescent="0.25">
      <c r="A490" s="462"/>
      <c r="B490" s="462"/>
      <c r="C490" s="462"/>
      <c r="D490" s="462"/>
      <c r="E490" s="462"/>
      <c r="F490" s="462"/>
      <c r="G490" s="462"/>
      <c r="H490" s="462"/>
    </row>
    <row r="491" spans="1:8" ht="15" customHeight="1" x14ac:dyDescent="0.25">
      <c r="A491" s="462"/>
      <c r="B491" s="462"/>
      <c r="C491" s="462"/>
      <c r="D491" s="462"/>
      <c r="E491" s="462"/>
      <c r="F491" s="462"/>
      <c r="G491" s="462"/>
      <c r="H491" s="462"/>
    </row>
    <row r="492" spans="1:8" ht="15" customHeight="1" x14ac:dyDescent="0.25">
      <c r="A492" s="462"/>
      <c r="B492" s="462"/>
      <c r="C492" s="462"/>
      <c r="D492" s="462"/>
      <c r="E492" s="462"/>
      <c r="F492" s="462"/>
      <c r="G492" s="462"/>
      <c r="H492" s="462"/>
    </row>
    <row r="493" spans="1:8" ht="15" customHeight="1" x14ac:dyDescent="0.25">
      <c r="A493" s="462"/>
      <c r="B493" s="462"/>
      <c r="C493" s="462"/>
      <c r="D493" s="462"/>
      <c r="E493" s="462"/>
      <c r="F493" s="462"/>
      <c r="G493" s="462"/>
      <c r="H493" s="462"/>
    </row>
    <row r="494" spans="1:8" ht="15" customHeight="1" x14ac:dyDescent="0.25">
      <c r="A494" s="462"/>
      <c r="B494" s="462"/>
      <c r="C494" s="462"/>
      <c r="D494" s="462"/>
      <c r="E494" s="462"/>
      <c r="F494" s="462"/>
      <c r="G494" s="462"/>
      <c r="H494" s="462"/>
    </row>
    <row r="495" spans="1:8" ht="15" customHeight="1" x14ac:dyDescent="0.25">
      <c r="A495" s="462"/>
      <c r="B495" s="462"/>
      <c r="C495" s="462"/>
      <c r="D495" s="462"/>
      <c r="E495" s="462"/>
      <c r="F495" s="462"/>
      <c r="G495" s="462"/>
      <c r="H495" s="462"/>
    </row>
    <row r="496" spans="1:8" ht="15" customHeight="1" x14ac:dyDescent="0.25">
      <c r="A496" s="462"/>
      <c r="B496" s="462"/>
      <c r="C496" s="462"/>
      <c r="D496" s="462"/>
      <c r="E496" s="462"/>
      <c r="F496" s="462"/>
      <c r="G496" s="462"/>
      <c r="H496" s="462"/>
    </row>
    <row r="497" spans="1:8" ht="15" customHeight="1" x14ac:dyDescent="0.25">
      <c r="A497" s="462"/>
      <c r="B497" s="462"/>
      <c r="C497" s="462"/>
      <c r="D497" s="462"/>
      <c r="E497" s="462"/>
      <c r="F497" s="462"/>
      <c r="G497" s="462"/>
      <c r="H497" s="462"/>
    </row>
    <row r="498" spans="1:8" ht="15" customHeight="1" x14ac:dyDescent="0.25">
      <c r="A498" s="462"/>
      <c r="B498" s="462"/>
      <c r="C498" s="462"/>
      <c r="D498" s="462"/>
      <c r="E498" s="462"/>
      <c r="F498" s="462"/>
      <c r="G498" s="462"/>
      <c r="H498" s="462"/>
    </row>
    <row r="499" spans="1:8" ht="15" customHeight="1" x14ac:dyDescent="0.25">
      <c r="A499" s="462"/>
      <c r="B499" s="462"/>
      <c r="C499" s="462"/>
      <c r="D499" s="462"/>
      <c r="E499" s="462"/>
      <c r="F499" s="462"/>
      <c r="G499" s="462"/>
      <c r="H499" s="462"/>
    </row>
    <row r="500" spans="1:8" ht="15" customHeight="1" x14ac:dyDescent="0.25">
      <c r="A500" s="462"/>
      <c r="B500" s="462"/>
      <c r="C500" s="462"/>
      <c r="D500" s="462"/>
      <c r="E500" s="462"/>
      <c r="F500" s="462"/>
      <c r="G500" s="462"/>
      <c r="H500" s="462"/>
    </row>
    <row r="501" spans="1:8" ht="15" customHeight="1" x14ac:dyDescent="0.25">
      <c r="A501" s="462"/>
      <c r="B501" s="462"/>
      <c r="C501" s="462"/>
      <c r="D501" s="462"/>
      <c r="E501" s="462"/>
      <c r="F501" s="462"/>
      <c r="G501" s="462"/>
      <c r="H501" s="462"/>
    </row>
    <row r="502" spans="1:8" ht="15" customHeight="1" x14ac:dyDescent="0.25">
      <c r="A502" s="462"/>
      <c r="B502" s="462"/>
      <c r="C502" s="462"/>
      <c r="D502" s="462"/>
      <c r="E502" s="462"/>
      <c r="F502" s="462"/>
      <c r="G502" s="462"/>
      <c r="H502" s="462"/>
    </row>
    <row r="503" spans="1:8" ht="15" customHeight="1" x14ac:dyDescent="0.25">
      <c r="A503" s="462"/>
      <c r="B503" s="462"/>
      <c r="C503" s="462"/>
      <c r="D503" s="462"/>
      <c r="E503" s="462"/>
      <c r="F503" s="462"/>
      <c r="G503" s="462"/>
      <c r="H503" s="462"/>
    </row>
    <row r="504" spans="1:8" ht="15" customHeight="1" x14ac:dyDescent="0.25">
      <c r="A504" s="462"/>
      <c r="B504" s="462"/>
      <c r="C504" s="462"/>
      <c r="D504" s="462"/>
      <c r="E504" s="462"/>
      <c r="F504" s="462"/>
      <c r="G504" s="462"/>
      <c r="H504" s="462"/>
    </row>
    <row r="505" spans="1:8" ht="15" customHeight="1" x14ac:dyDescent="0.25">
      <c r="A505" s="462"/>
      <c r="B505" s="462"/>
      <c r="C505" s="462"/>
      <c r="D505" s="462"/>
      <c r="E505" s="462"/>
      <c r="F505" s="462"/>
      <c r="G505" s="462"/>
      <c r="H505" s="462"/>
    </row>
    <row r="506" spans="1:8" ht="15" customHeight="1" x14ac:dyDescent="0.25">
      <c r="A506" s="462"/>
      <c r="B506" s="462"/>
      <c r="C506" s="462"/>
      <c r="D506" s="462"/>
      <c r="E506" s="462"/>
      <c r="F506" s="462"/>
      <c r="G506" s="462"/>
      <c r="H506" s="462"/>
    </row>
    <row r="507" spans="1:8" ht="15" customHeight="1" x14ac:dyDescent="0.25">
      <c r="A507" s="462"/>
      <c r="B507" s="462"/>
      <c r="C507" s="462"/>
      <c r="D507" s="462"/>
      <c r="E507" s="462"/>
      <c r="F507" s="462"/>
      <c r="G507" s="462"/>
      <c r="H507" s="462"/>
    </row>
    <row r="508" spans="1:8" ht="15" customHeight="1" x14ac:dyDescent="0.25">
      <c r="A508" s="462"/>
      <c r="B508" s="462"/>
      <c r="C508" s="462"/>
      <c r="D508" s="462"/>
      <c r="E508" s="462"/>
      <c r="F508" s="462"/>
      <c r="G508" s="462"/>
      <c r="H508" s="462"/>
    </row>
    <row r="509" spans="1:8" ht="15" customHeight="1" x14ac:dyDescent="0.25">
      <c r="A509" s="462"/>
      <c r="B509" s="462"/>
      <c r="C509" s="462"/>
      <c r="D509" s="462"/>
      <c r="E509" s="462"/>
      <c r="F509" s="462"/>
      <c r="G509" s="462"/>
      <c r="H509" s="462"/>
    </row>
    <row r="510" spans="1:8" ht="15" customHeight="1" x14ac:dyDescent="0.25">
      <c r="A510" s="462"/>
      <c r="B510" s="462"/>
      <c r="C510" s="462"/>
      <c r="D510" s="462"/>
      <c r="E510" s="462"/>
      <c r="F510" s="462"/>
      <c r="G510" s="462"/>
      <c r="H510" s="462"/>
    </row>
    <row r="511" spans="1:8" ht="15" customHeight="1" x14ac:dyDescent="0.25">
      <c r="A511" s="462"/>
      <c r="B511" s="462"/>
      <c r="C511" s="462"/>
      <c r="D511" s="462"/>
      <c r="E511" s="462"/>
      <c r="F511" s="462"/>
      <c r="G511" s="462"/>
      <c r="H511" s="462"/>
    </row>
    <row r="512" spans="1:8" ht="15" customHeight="1" x14ac:dyDescent="0.25">
      <c r="A512" s="462"/>
      <c r="B512" s="462"/>
      <c r="C512" s="462"/>
      <c r="D512" s="462"/>
      <c r="E512" s="462"/>
      <c r="F512" s="462"/>
      <c r="G512" s="462"/>
      <c r="H512" s="462"/>
    </row>
    <row r="513" spans="1:8" ht="15" customHeight="1" x14ac:dyDescent="0.25">
      <c r="A513" s="462"/>
      <c r="B513" s="462"/>
      <c r="C513" s="462"/>
      <c r="D513" s="462"/>
      <c r="E513" s="462"/>
      <c r="F513" s="462"/>
      <c r="G513" s="462"/>
      <c r="H513" s="462"/>
    </row>
    <row r="514" spans="1:8" ht="15" customHeight="1" x14ac:dyDescent="0.25">
      <c r="A514" s="462"/>
      <c r="B514" s="462"/>
      <c r="C514" s="462"/>
      <c r="D514" s="462"/>
      <c r="E514" s="462"/>
      <c r="F514" s="462"/>
      <c r="G514" s="462"/>
      <c r="H514" s="462"/>
    </row>
    <row r="515" spans="1:8" ht="15" customHeight="1" x14ac:dyDescent="0.25">
      <c r="A515" s="462"/>
      <c r="B515" s="462"/>
      <c r="C515" s="462"/>
      <c r="D515" s="462"/>
      <c r="E515" s="462"/>
      <c r="F515" s="462"/>
      <c r="G515" s="462"/>
      <c r="H515" s="462"/>
    </row>
    <row r="516" spans="1:8" ht="15" customHeight="1" x14ac:dyDescent="0.25">
      <c r="A516" s="462"/>
      <c r="B516" s="462"/>
      <c r="C516" s="462"/>
      <c r="D516" s="462"/>
      <c r="E516" s="462"/>
      <c r="F516" s="462"/>
      <c r="G516" s="462"/>
      <c r="H516" s="462"/>
    </row>
    <row r="517" spans="1:8" ht="15" customHeight="1" x14ac:dyDescent="0.25">
      <c r="A517" s="462"/>
      <c r="B517" s="462"/>
      <c r="C517" s="462"/>
      <c r="D517" s="462"/>
      <c r="E517" s="462"/>
      <c r="F517" s="462"/>
      <c r="G517" s="462"/>
      <c r="H517" s="462"/>
    </row>
    <row r="518" spans="1:8" ht="15" customHeight="1" x14ac:dyDescent="0.25">
      <c r="A518" s="462"/>
      <c r="B518" s="462"/>
      <c r="C518" s="462"/>
      <c r="D518" s="462"/>
      <c r="E518" s="462"/>
      <c r="F518" s="462"/>
      <c r="G518" s="462"/>
      <c r="H518" s="462"/>
    </row>
    <row r="519" spans="1:8" ht="15" customHeight="1" x14ac:dyDescent="0.25">
      <c r="A519" s="462"/>
      <c r="B519" s="462"/>
      <c r="C519" s="462"/>
      <c r="D519" s="462"/>
      <c r="E519" s="462"/>
      <c r="F519" s="462"/>
      <c r="G519" s="462"/>
      <c r="H519" s="462"/>
    </row>
    <row r="520" spans="1:8" ht="15" customHeight="1" x14ac:dyDescent="0.25">
      <c r="A520" s="462"/>
      <c r="B520" s="462"/>
      <c r="C520" s="462"/>
      <c r="D520" s="462"/>
      <c r="E520" s="462"/>
      <c r="F520" s="462"/>
      <c r="G520" s="462"/>
      <c r="H520" s="462"/>
    </row>
    <row r="521" spans="1:8" ht="15" customHeight="1" x14ac:dyDescent="0.25">
      <c r="A521" s="462"/>
      <c r="B521" s="462"/>
      <c r="C521" s="462"/>
      <c r="D521" s="462"/>
      <c r="E521" s="462"/>
      <c r="F521" s="462"/>
      <c r="G521" s="462"/>
      <c r="H521" s="462"/>
    </row>
    <row r="522" spans="1:8" ht="15" customHeight="1" x14ac:dyDescent="0.25">
      <c r="A522" s="462"/>
      <c r="B522" s="462"/>
      <c r="C522" s="462"/>
      <c r="D522" s="462"/>
      <c r="E522" s="462"/>
      <c r="F522" s="462"/>
      <c r="G522" s="462"/>
      <c r="H522" s="462"/>
    </row>
    <row r="523" spans="1:8" ht="15" customHeight="1" x14ac:dyDescent="0.25">
      <c r="A523" s="462"/>
      <c r="B523" s="462"/>
      <c r="C523" s="462"/>
      <c r="D523" s="462"/>
      <c r="E523" s="462"/>
      <c r="F523" s="462"/>
      <c r="G523" s="462"/>
      <c r="H523" s="462"/>
    </row>
    <row r="524" spans="1:8" ht="15" customHeight="1" x14ac:dyDescent="0.25">
      <c r="A524" s="462"/>
      <c r="B524" s="462"/>
      <c r="C524" s="462"/>
      <c r="D524" s="462"/>
      <c r="E524" s="462"/>
      <c r="F524" s="462"/>
      <c r="G524" s="462"/>
      <c r="H524" s="462"/>
    </row>
    <row r="525" spans="1:8" ht="15" customHeight="1" x14ac:dyDescent="0.25">
      <c r="A525" s="462"/>
      <c r="B525" s="462"/>
      <c r="C525" s="462"/>
      <c r="D525" s="462"/>
      <c r="E525" s="462"/>
      <c r="F525" s="462"/>
      <c r="G525" s="462"/>
      <c r="H525" s="462"/>
    </row>
    <row r="526" spans="1:8" ht="15" customHeight="1" x14ac:dyDescent="0.25">
      <c r="A526" s="462"/>
      <c r="B526" s="462"/>
      <c r="C526" s="462"/>
      <c r="D526" s="462"/>
      <c r="E526" s="462"/>
      <c r="F526" s="462"/>
      <c r="G526" s="462"/>
      <c r="H526" s="462"/>
    </row>
    <row r="527" spans="1:8" ht="15" customHeight="1" x14ac:dyDescent="0.25">
      <c r="A527" s="462"/>
      <c r="B527" s="462"/>
      <c r="C527" s="462"/>
      <c r="D527" s="462"/>
      <c r="E527" s="462"/>
      <c r="F527" s="462"/>
      <c r="G527" s="462"/>
      <c r="H527" s="462"/>
    </row>
    <row r="528" spans="1:8" ht="15" customHeight="1" x14ac:dyDescent="0.25">
      <c r="A528" s="462"/>
      <c r="B528" s="462"/>
      <c r="C528" s="462"/>
      <c r="D528" s="462"/>
      <c r="E528" s="462"/>
      <c r="F528" s="462"/>
      <c r="G528" s="462"/>
      <c r="H528" s="462"/>
    </row>
    <row r="529" spans="1:8" ht="15" customHeight="1" x14ac:dyDescent="0.25">
      <c r="A529" s="462"/>
      <c r="B529" s="462"/>
      <c r="C529" s="462"/>
      <c r="D529" s="462"/>
      <c r="E529" s="462"/>
      <c r="F529" s="462"/>
      <c r="G529" s="462"/>
      <c r="H529" s="462"/>
    </row>
    <row r="530" spans="1:8" ht="15" customHeight="1" x14ac:dyDescent="0.25">
      <c r="A530" s="462"/>
      <c r="B530" s="462"/>
      <c r="C530" s="462"/>
      <c r="D530" s="462"/>
      <c r="E530" s="462"/>
      <c r="F530" s="462"/>
      <c r="G530" s="462"/>
      <c r="H530" s="462"/>
    </row>
    <row r="531" spans="1:8" ht="15" customHeight="1" x14ac:dyDescent="0.25">
      <c r="A531" s="462"/>
      <c r="B531" s="462"/>
      <c r="C531" s="462"/>
      <c r="D531" s="462"/>
      <c r="E531" s="462"/>
      <c r="F531" s="462"/>
      <c r="G531" s="462"/>
      <c r="H531" s="462"/>
    </row>
    <row r="532" spans="1:8" ht="15" customHeight="1" x14ac:dyDescent="0.25">
      <c r="A532" s="462"/>
      <c r="B532" s="462"/>
      <c r="C532" s="462"/>
      <c r="D532" s="462"/>
      <c r="E532" s="462"/>
      <c r="F532" s="462"/>
      <c r="G532" s="462"/>
      <c r="H532" s="462"/>
    </row>
    <row r="533" spans="1:8" ht="15" customHeight="1" x14ac:dyDescent="0.25">
      <c r="A533" s="462"/>
      <c r="B533" s="462"/>
      <c r="C533" s="462"/>
      <c r="D533" s="462"/>
      <c r="E533" s="462"/>
      <c r="F533" s="462"/>
      <c r="G533" s="462"/>
      <c r="H533" s="462"/>
    </row>
    <row r="534" spans="1:8" ht="15" customHeight="1" x14ac:dyDescent="0.25">
      <c r="A534" s="462"/>
      <c r="B534" s="462"/>
      <c r="C534" s="462"/>
      <c r="D534" s="462"/>
      <c r="E534" s="462"/>
      <c r="F534" s="462"/>
      <c r="G534" s="462"/>
      <c r="H534" s="462"/>
    </row>
    <row r="535" spans="1:8" ht="15" customHeight="1" x14ac:dyDescent="0.25">
      <c r="A535" s="462"/>
      <c r="B535" s="462"/>
      <c r="C535" s="462"/>
      <c r="D535" s="462"/>
      <c r="E535" s="462"/>
      <c r="F535" s="462"/>
      <c r="G535" s="462"/>
      <c r="H535" s="462"/>
    </row>
    <row r="536" spans="1:8" ht="15" customHeight="1" x14ac:dyDescent="0.25">
      <c r="A536" s="462"/>
      <c r="B536" s="462"/>
      <c r="C536" s="462"/>
      <c r="D536" s="462"/>
      <c r="E536" s="462"/>
      <c r="F536" s="462"/>
      <c r="G536" s="462"/>
      <c r="H536" s="462"/>
    </row>
    <row r="537" spans="1:8" ht="15" customHeight="1" x14ac:dyDescent="0.25">
      <c r="A537" s="462"/>
      <c r="B537" s="462"/>
      <c r="C537" s="462"/>
      <c r="D537" s="462"/>
      <c r="E537" s="462"/>
      <c r="F537" s="462"/>
      <c r="G537" s="462"/>
      <c r="H537" s="462"/>
    </row>
    <row r="538" spans="1:8" ht="15" customHeight="1" x14ac:dyDescent="0.25">
      <c r="A538" s="462"/>
      <c r="B538" s="462"/>
      <c r="C538" s="462"/>
      <c r="D538" s="462"/>
      <c r="E538" s="462"/>
      <c r="F538" s="462"/>
      <c r="G538" s="462"/>
      <c r="H538" s="462"/>
    </row>
    <row r="539" spans="1:8" ht="15" customHeight="1" x14ac:dyDescent="0.25">
      <c r="A539" s="462"/>
      <c r="B539" s="462"/>
      <c r="C539" s="462"/>
      <c r="D539" s="462"/>
      <c r="E539" s="462"/>
      <c r="F539" s="462"/>
      <c r="G539" s="462"/>
      <c r="H539" s="462"/>
    </row>
    <row r="540" spans="1:8" ht="15" customHeight="1" x14ac:dyDescent="0.25">
      <c r="A540" s="462"/>
      <c r="B540" s="462"/>
      <c r="C540" s="462"/>
      <c r="D540" s="462"/>
      <c r="E540" s="462"/>
      <c r="F540" s="462"/>
      <c r="G540" s="462"/>
      <c r="H540" s="462"/>
    </row>
    <row r="541" spans="1:8" ht="15" customHeight="1" x14ac:dyDescent="0.25">
      <c r="A541" s="462"/>
      <c r="B541" s="462"/>
      <c r="C541" s="462"/>
      <c r="D541" s="462"/>
      <c r="E541" s="462"/>
      <c r="F541" s="462"/>
      <c r="G541" s="462"/>
      <c r="H541" s="462"/>
    </row>
    <row r="542" spans="1:8" ht="15" customHeight="1" x14ac:dyDescent="0.25">
      <c r="A542" s="462"/>
      <c r="B542" s="462"/>
      <c r="C542" s="462"/>
      <c r="D542" s="462"/>
      <c r="E542" s="462"/>
      <c r="F542" s="462"/>
      <c r="G542" s="462"/>
      <c r="H542" s="462"/>
    </row>
    <row r="543" spans="1:8" ht="15" customHeight="1" x14ac:dyDescent="0.25">
      <c r="A543" s="462"/>
      <c r="B543" s="462"/>
      <c r="C543" s="462"/>
      <c r="D543" s="462"/>
      <c r="E543" s="462"/>
      <c r="F543" s="462"/>
      <c r="G543" s="462"/>
      <c r="H543" s="462"/>
    </row>
    <row r="544" spans="1:8" ht="15" customHeight="1" x14ac:dyDescent="0.25">
      <c r="A544" s="462"/>
      <c r="B544" s="462"/>
      <c r="C544" s="462"/>
      <c r="D544" s="462"/>
      <c r="E544" s="462"/>
      <c r="F544" s="462"/>
      <c r="G544" s="462"/>
      <c r="H544" s="462"/>
    </row>
    <row r="545" spans="1:8" ht="15" customHeight="1" x14ac:dyDescent="0.25">
      <c r="A545" s="462"/>
      <c r="B545" s="462"/>
      <c r="C545" s="462"/>
      <c r="D545" s="462"/>
      <c r="E545" s="462"/>
      <c r="F545" s="462"/>
      <c r="G545" s="462"/>
      <c r="H545" s="462"/>
    </row>
    <row r="546" spans="1:8" ht="15" customHeight="1" x14ac:dyDescent="0.25">
      <c r="A546" s="462"/>
      <c r="B546" s="462"/>
      <c r="C546" s="462"/>
      <c r="D546" s="462"/>
      <c r="E546" s="462"/>
      <c r="F546" s="462"/>
      <c r="G546" s="462"/>
      <c r="H546" s="462"/>
    </row>
    <row r="547" spans="1:8" ht="15" customHeight="1" x14ac:dyDescent="0.25">
      <c r="A547" s="462"/>
      <c r="B547" s="462"/>
      <c r="C547" s="462"/>
      <c r="D547" s="462"/>
      <c r="E547" s="462"/>
      <c r="F547" s="462"/>
      <c r="G547" s="462"/>
      <c r="H547" s="462"/>
    </row>
    <row r="548" spans="1:8" ht="15" customHeight="1" x14ac:dyDescent="0.25">
      <c r="A548" s="462"/>
      <c r="B548" s="462"/>
      <c r="C548" s="462"/>
      <c r="D548" s="462"/>
      <c r="E548" s="462"/>
      <c r="F548" s="462"/>
      <c r="G548" s="462"/>
      <c r="H548" s="462"/>
    </row>
    <row r="549" spans="1:8" ht="15" customHeight="1" x14ac:dyDescent="0.25">
      <c r="A549" s="462"/>
      <c r="B549" s="462"/>
      <c r="C549" s="462"/>
      <c r="D549" s="462"/>
      <c r="E549" s="462"/>
      <c r="F549" s="462"/>
      <c r="G549" s="462"/>
      <c r="H549" s="462"/>
    </row>
    <row r="550" spans="1:8" ht="15" customHeight="1" x14ac:dyDescent="0.25">
      <c r="A550" s="462"/>
      <c r="B550" s="462"/>
      <c r="C550" s="462"/>
      <c r="D550" s="462"/>
      <c r="E550" s="462"/>
      <c r="F550" s="462"/>
      <c r="G550" s="462"/>
      <c r="H550" s="462"/>
    </row>
    <row r="551" spans="1:8" ht="15" customHeight="1" x14ac:dyDescent="0.25">
      <c r="A551" s="462"/>
      <c r="B551" s="462"/>
      <c r="C551" s="462"/>
      <c r="D551" s="462"/>
      <c r="E551" s="462"/>
      <c r="F551" s="462"/>
      <c r="G551" s="462"/>
      <c r="H551" s="462"/>
    </row>
    <row r="552" spans="1:8" ht="15" customHeight="1" x14ac:dyDescent="0.25">
      <c r="A552" s="462"/>
      <c r="B552" s="462"/>
      <c r="C552" s="462"/>
      <c r="D552" s="462"/>
      <c r="E552" s="462"/>
      <c r="F552" s="462"/>
      <c r="G552" s="462"/>
      <c r="H552" s="462"/>
    </row>
    <row r="553" spans="1:8" ht="15" customHeight="1" x14ac:dyDescent="0.25">
      <c r="A553" s="462"/>
      <c r="B553" s="462"/>
      <c r="C553" s="462"/>
      <c r="D553" s="462"/>
      <c r="E553" s="462"/>
      <c r="F553" s="462"/>
      <c r="G553" s="462"/>
      <c r="H553" s="462"/>
    </row>
    <row r="554" spans="1:8" ht="15" customHeight="1" x14ac:dyDescent="0.25">
      <c r="A554" s="462"/>
      <c r="B554" s="462"/>
      <c r="C554" s="462"/>
      <c r="D554" s="462"/>
      <c r="E554" s="462"/>
      <c r="F554" s="462"/>
      <c r="G554" s="462"/>
      <c r="H554" s="462"/>
    </row>
    <row r="555" spans="1:8" ht="15" customHeight="1" x14ac:dyDescent="0.25">
      <c r="A555" s="462"/>
      <c r="B555" s="462"/>
      <c r="C555" s="462"/>
      <c r="D555" s="462"/>
      <c r="E555" s="462"/>
      <c r="F555" s="462"/>
      <c r="G555" s="462"/>
      <c r="H555" s="462"/>
    </row>
    <row r="556" spans="1:8" ht="15" customHeight="1" x14ac:dyDescent="0.25">
      <c r="A556" s="462"/>
      <c r="B556" s="462"/>
      <c r="C556" s="462"/>
      <c r="D556" s="462"/>
      <c r="E556" s="462"/>
      <c r="F556" s="462"/>
      <c r="G556" s="462"/>
      <c r="H556" s="462"/>
    </row>
    <row r="557" spans="1:8" ht="15" customHeight="1" x14ac:dyDescent="0.25">
      <c r="A557" s="462"/>
      <c r="B557" s="462"/>
      <c r="C557" s="462"/>
      <c r="D557" s="462"/>
      <c r="E557" s="462"/>
      <c r="F557" s="462"/>
      <c r="G557" s="462"/>
      <c r="H557" s="462"/>
    </row>
    <row r="558" spans="1:8" ht="15" customHeight="1" x14ac:dyDescent="0.25">
      <c r="A558" s="462"/>
      <c r="B558" s="462"/>
      <c r="C558" s="462"/>
      <c r="D558" s="462"/>
      <c r="E558" s="462"/>
      <c r="F558" s="462"/>
      <c r="G558" s="462"/>
      <c r="H558" s="462"/>
    </row>
    <row r="559" spans="1:8" ht="15" customHeight="1" x14ac:dyDescent="0.25">
      <c r="A559" s="462"/>
      <c r="B559" s="462"/>
      <c r="C559" s="462"/>
      <c r="D559" s="462"/>
      <c r="E559" s="462"/>
      <c r="F559" s="462"/>
      <c r="G559" s="462"/>
      <c r="H559" s="462"/>
    </row>
    <row r="560" spans="1:8" ht="15" customHeight="1" x14ac:dyDescent="0.25">
      <c r="A560" s="462"/>
      <c r="B560" s="462"/>
      <c r="C560" s="462"/>
      <c r="D560" s="462"/>
      <c r="E560" s="462"/>
      <c r="F560" s="462"/>
      <c r="G560" s="462"/>
      <c r="H560" s="462"/>
    </row>
    <row r="561" spans="1:8" ht="15" customHeight="1" x14ac:dyDescent="0.25">
      <c r="A561" s="462"/>
      <c r="B561" s="462"/>
      <c r="C561" s="462"/>
      <c r="D561" s="462"/>
      <c r="E561" s="462"/>
      <c r="F561" s="462"/>
      <c r="G561" s="462"/>
      <c r="H561" s="462"/>
    </row>
    <row r="562" spans="1:8" ht="15" customHeight="1" x14ac:dyDescent="0.25">
      <c r="A562" s="462"/>
      <c r="B562" s="462"/>
      <c r="C562" s="462"/>
      <c r="D562" s="462"/>
      <c r="E562" s="462"/>
      <c r="F562" s="462"/>
      <c r="G562" s="462"/>
      <c r="H562" s="462"/>
    </row>
    <row r="563" spans="1:8" ht="15" customHeight="1" x14ac:dyDescent="0.25">
      <c r="A563" s="462"/>
      <c r="B563" s="462"/>
      <c r="C563" s="462"/>
      <c r="D563" s="462"/>
      <c r="E563" s="462"/>
      <c r="F563" s="462"/>
      <c r="G563" s="462"/>
      <c r="H563" s="462"/>
    </row>
    <row r="564" spans="1:8" ht="15" customHeight="1" x14ac:dyDescent="0.25">
      <c r="A564" s="462"/>
      <c r="B564" s="462"/>
      <c r="C564" s="462"/>
      <c r="D564" s="462"/>
      <c r="E564" s="462"/>
      <c r="F564" s="462"/>
      <c r="G564" s="462"/>
      <c r="H564" s="462"/>
    </row>
    <row r="565" spans="1:8" ht="15" customHeight="1" x14ac:dyDescent="0.25">
      <c r="A565" s="462"/>
      <c r="B565" s="462"/>
      <c r="C565" s="462"/>
      <c r="D565" s="462"/>
      <c r="E565" s="462"/>
      <c r="F565" s="462"/>
      <c r="G565" s="462"/>
      <c r="H565" s="462"/>
    </row>
    <row r="566" spans="1:8" ht="15" customHeight="1" x14ac:dyDescent="0.25">
      <c r="A566" s="462"/>
      <c r="B566" s="462"/>
      <c r="C566" s="462"/>
      <c r="D566" s="462"/>
      <c r="E566" s="462"/>
      <c r="F566" s="462"/>
      <c r="G566" s="462"/>
      <c r="H566" s="462"/>
    </row>
    <row r="567" spans="1:8" ht="15" customHeight="1" x14ac:dyDescent="0.25">
      <c r="A567" s="462"/>
      <c r="B567" s="462"/>
      <c r="C567" s="462"/>
      <c r="D567" s="462"/>
      <c r="E567" s="462"/>
      <c r="F567" s="462"/>
      <c r="G567" s="462"/>
      <c r="H567" s="462"/>
    </row>
    <row r="568" spans="1:8" ht="15" customHeight="1" x14ac:dyDescent="0.25">
      <c r="A568" s="462"/>
      <c r="B568" s="462"/>
      <c r="C568" s="462"/>
      <c r="D568" s="462"/>
      <c r="E568" s="462"/>
      <c r="F568" s="462"/>
      <c r="G568" s="462"/>
      <c r="H568" s="462"/>
    </row>
    <row r="569" spans="1:8" ht="15" customHeight="1" x14ac:dyDescent="0.25">
      <c r="A569" s="462"/>
      <c r="B569" s="462"/>
      <c r="C569" s="462"/>
      <c r="D569" s="462"/>
      <c r="E569" s="462"/>
      <c r="F569" s="462"/>
      <c r="G569" s="462"/>
      <c r="H569" s="462"/>
    </row>
    <row r="570" spans="1:8" ht="15" customHeight="1" x14ac:dyDescent="0.25">
      <c r="A570" s="462"/>
      <c r="B570" s="462"/>
      <c r="C570" s="462"/>
      <c r="D570" s="462"/>
      <c r="E570" s="462"/>
      <c r="F570" s="462"/>
      <c r="G570" s="462"/>
      <c r="H570" s="462"/>
    </row>
    <row r="571" spans="1:8" ht="15" customHeight="1" x14ac:dyDescent="0.25">
      <c r="A571" s="462"/>
      <c r="B571" s="462"/>
      <c r="C571" s="462"/>
      <c r="D571" s="462"/>
      <c r="E571" s="462"/>
      <c r="F571" s="462"/>
      <c r="G571" s="462"/>
      <c r="H571" s="462"/>
    </row>
    <row r="572" spans="1:8" ht="15" customHeight="1" x14ac:dyDescent="0.25">
      <c r="A572" s="462"/>
      <c r="B572" s="462"/>
      <c r="C572" s="462"/>
      <c r="D572" s="462"/>
      <c r="E572" s="462"/>
      <c r="F572" s="462"/>
      <c r="G572" s="462"/>
      <c r="H572" s="462"/>
    </row>
    <row r="573" spans="1:8" ht="15" customHeight="1" x14ac:dyDescent="0.25">
      <c r="A573" s="462"/>
      <c r="B573" s="462"/>
      <c r="C573" s="462"/>
      <c r="D573" s="462"/>
      <c r="E573" s="462"/>
      <c r="F573" s="462"/>
      <c r="G573" s="462"/>
      <c r="H573" s="462"/>
    </row>
    <row r="574" spans="1:8" ht="15" customHeight="1" x14ac:dyDescent="0.25">
      <c r="A574" s="462"/>
      <c r="B574" s="462"/>
      <c r="C574" s="462"/>
      <c r="D574" s="462"/>
      <c r="E574" s="462"/>
      <c r="F574" s="462"/>
      <c r="G574" s="462"/>
      <c r="H574" s="462"/>
    </row>
    <row r="575" spans="1:8" ht="15" customHeight="1" x14ac:dyDescent="0.25">
      <c r="A575" s="462"/>
      <c r="B575" s="462"/>
      <c r="C575" s="462"/>
      <c r="D575" s="462"/>
      <c r="E575" s="462"/>
      <c r="F575" s="462"/>
      <c r="G575" s="462"/>
      <c r="H575" s="462"/>
    </row>
    <row r="576" spans="1:8" ht="15" customHeight="1" x14ac:dyDescent="0.25">
      <c r="A576" s="462"/>
      <c r="B576" s="462"/>
      <c r="C576" s="462"/>
      <c r="D576" s="462"/>
      <c r="E576" s="462"/>
      <c r="F576" s="462"/>
      <c r="G576" s="462"/>
      <c r="H576" s="462"/>
    </row>
    <row r="577" spans="1:8" ht="15" customHeight="1" x14ac:dyDescent="0.25">
      <c r="A577" s="462"/>
      <c r="B577" s="462"/>
      <c r="C577" s="462"/>
      <c r="D577" s="462"/>
      <c r="E577" s="462"/>
      <c r="F577" s="462"/>
      <c r="G577" s="462"/>
      <c r="H577" s="462"/>
    </row>
    <row r="578" spans="1:8" ht="15" customHeight="1" x14ac:dyDescent="0.25">
      <c r="A578" s="462"/>
      <c r="B578" s="462"/>
      <c r="C578" s="462"/>
      <c r="D578" s="462"/>
      <c r="E578" s="462"/>
      <c r="F578" s="462"/>
      <c r="G578" s="462"/>
      <c r="H578" s="462"/>
    </row>
    <row r="579" spans="1:8" ht="15" customHeight="1" x14ac:dyDescent="0.25">
      <c r="A579" s="462"/>
      <c r="B579" s="462"/>
      <c r="C579" s="462"/>
      <c r="D579" s="462"/>
      <c r="E579" s="462"/>
      <c r="F579" s="462"/>
      <c r="G579" s="462"/>
      <c r="H579" s="462"/>
    </row>
    <row r="580" spans="1:8" ht="15" customHeight="1" x14ac:dyDescent="0.25">
      <c r="A580" s="462"/>
      <c r="B580" s="462"/>
      <c r="C580" s="462"/>
      <c r="D580" s="462"/>
      <c r="E580" s="462"/>
      <c r="F580" s="462"/>
      <c r="G580" s="462"/>
      <c r="H580" s="462"/>
    </row>
    <row r="581" spans="1:8" ht="15" customHeight="1" x14ac:dyDescent="0.25">
      <c r="A581" s="462"/>
      <c r="B581" s="462"/>
      <c r="C581" s="462"/>
      <c r="D581" s="462"/>
      <c r="E581" s="462"/>
      <c r="F581" s="462"/>
      <c r="G581" s="462"/>
      <c r="H581" s="462"/>
    </row>
    <row r="582" spans="1:8" ht="15" customHeight="1" x14ac:dyDescent="0.25">
      <c r="A582" s="462"/>
      <c r="B582" s="462"/>
      <c r="C582" s="462"/>
      <c r="D582" s="462"/>
      <c r="E582" s="462"/>
      <c r="F582" s="462"/>
      <c r="G582" s="462"/>
      <c r="H582" s="462"/>
    </row>
    <row r="583" spans="1:8" ht="15" customHeight="1" x14ac:dyDescent="0.25">
      <c r="A583" s="462"/>
      <c r="B583" s="462"/>
      <c r="C583" s="462"/>
      <c r="D583" s="462"/>
      <c r="E583" s="462"/>
      <c r="F583" s="462"/>
      <c r="G583" s="462"/>
      <c r="H583" s="462"/>
    </row>
    <row r="584" spans="1:8" ht="15" customHeight="1" x14ac:dyDescent="0.25">
      <c r="A584" s="462"/>
      <c r="B584" s="462"/>
      <c r="C584" s="462"/>
      <c r="D584" s="462"/>
      <c r="E584" s="462"/>
      <c r="F584" s="462"/>
      <c r="G584" s="462"/>
      <c r="H584" s="462"/>
    </row>
    <row r="585" spans="1:8" ht="15" customHeight="1" x14ac:dyDescent="0.25">
      <c r="A585" s="462"/>
      <c r="B585" s="462"/>
      <c r="C585" s="462"/>
      <c r="D585" s="462"/>
      <c r="E585" s="462"/>
      <c r="F585" s="462"/>
      <c r="G585" s="462"/>
      <c r="H585" s="462"/>
    </row>
    <row r="586" spans="1:8" ht="15" customHeight="1" x14ac:dyDescent="0.25">
      <c r="A586" s="462"/>
      <c r="B586" s="462"/>
      <c r="C586" s="462"/>
      <c r="D586" s="462"/>
      <c r="E586" s="462"/>
      <c r="F586" s="462"/>
      <c r="G586" s="462"/>
      <c r="H586" s="462"/>
    </row>
    <row r="587" spans="1:8" ht="15" customHeight="1" x14ac:dyDescent="0.25">
      <c r="A587" s="462"/>
      <c r="B587" s="462"/>
      <c r="C587" s="462"/>
      <c r="D587" s="462"/>
      <c r="E587" s="462"/>
      <c r="F587" s="462"/>
      <c r="G587" s="462"/>
      <c r="H587" s="462"/>
    </row>
    <row r="588" spans="1:8" ht="15" customHeight="1" x14ac:dyDescent="0.25">
      <c r="A588" s="462"/>
      <c r="B588" s="462"/>
      <c r="C588" s="462"/>
      <c r="D588" s="462"/>
      <c r="E588" s="462"/>
      <c r="F588" s="462"/>
      <c r="G588" s="462"/>
      <c r="H588" s="462"/>
    </row>
    <row r="589" spans="1:8" ht="15" customHeight="1" x14ac:dyDescent="0.25">
      <c r="A589" s="462"/>
      <c r="B589" s="462"/>
      <c r="C589" s="462"/>
      <c r="D589" s="462"/>
      <c r="E589" s="462"/>
      <c r="F589" s="462"/>
      <c r="G589" s="462"/>
      <c r="H589" s="462"/>
    </row>
    <row r="590" spans="1:8" ht="15" customHeight="1" x14ac:dyDescent="0.25">
      <c r="A590" s="462"/>
      <c r="B590" s="462"/>
      <c r="C590" s="462"/>
      <c r="D590" s="462"/>
      <c r="E590" s="462"/>
      <c r="F590" s="462"/>
      <c r="G590" s="462"/>
      <c r="H590" s="462"/>
    </row>
    <row r="591" spans="1:8" ht="15" customHeight="1" x14ac:dyDescent="0.25">
      <c r="A591" s="462"/>
      <c r="B591" s="462"/>
      <c r="C591" s="462"/>
      <c r="D591" s="462"/>
      <c r="E591" s="462"/>
      <c r="F591" s="462"/>
      <c r="G591" s="462"/>
      <c r="H591" s="462"/>
    </row>
    <row r="592" spans="1:8" ht="15" customHeight="1" x14ac:dyDescent="0.25">
      <c r="A592" s="462"/>
      <c r="B592" s="462"/>
      <c r="C592" s="462"/>
      <c r="D592" s="462"/>
      <c r="E592" s="462"/>
      <c r="F592" s="462"/>
      <c r="G592" s="462"/>
      <c r="H592" s="462"/>
    </row>
    <row r="593" spans="1:8" ht="15" customHeight="1" x14ac:dyDescent="0.25">
      <c r="A593" s="462"/>
      <c r="B593" s="462"/>
      <c r="C593" s="462"/>
      <c r="D593" s="462"/>
      <c r="E593" s="462"/>
      <c r="F593" s="462"/>
      <c r="G593" s="462"/>
      <c r="H593" s="462"/>
    </row>
    <row r="594" spans="1:8" ht="15" customHeight="1" x14ac:dyDescent="0.25">
      <c r="A594" s="462"/>
      <c r="B594" s="462"/>
      <c r="C594" s="462"/>
      <c r="D594" s="462"/>
      <c r="E594" s="462"/>
      <c r="F594" s="462"/>
      <c r="G594" s="462"/>
      <c r="H594" s="462"/>
    </row>
    <row r="595" spans="1:8" ht="15" customHeight="1" x14ac:dyDescent="0.25">
      <c r="A595" s="462"/>
      <c r="B595" s="462"/>
      <c r="C595" s="462"/>
      <c r="D595" s="462"/>
      <c r="E595" s="462"/>
      <c r="F595" s="462"/>
      <c r="G595" s="462"/>
      <c r="H595" s="462"/>
    </row>
    <row r="596" spans="1:8" ht="15" customHeight="1" x14ac:dyDescent="0.25">
      <c r="A596" s="462"/>
      <c r="B596" s="462"/>
      <c r="C596" s="462"/>
      <c r="D596" s="462"/>
      <c r="E596" s="462"/>
      <c r="F596" s="462"/>
      <c r="G596" s="462"/>
      <c r="H596" s="462"/>
    </row>
    <row r="597" spans="1:8" ht="15" customHeight="1" x14ac:dyDescent="0.25">
      <c r="A597" s="462"/>
      <c r="B597" s="462"/>
      <c r="C597" s="462"/>
      <c r="D597" s="462"/>
      <c r="E597" s="462"/>
      <c r="F597" s="462"/>
      <c r="G597" s="462"/>
      <c r="H597" s="462"/>
    </row>
    <row r="598" spans="1:8" ht="15" customHeight="1" x14ac:dyDescent="0.25">
      <c r="A598" s="462"/>
      <c r="B598" s="462"/>
      <c r="C598" s="462"/>
      <c r="D598" s="462"/>
      <c r="E598" s="462"/>
      <c r="F598" s="462"/>
      <c r="G598" s="462"/>
      <c r="H598" s="462"/>
    </row>
    <row r="599" spans="1:8" ht="15" customHeight="1" x14ac:dyDescent="0.25">
      <c r="A599" s="462"/>
      <c r="B599" s="462"/>
      <c r="C599" s="462"/>
      <c r="D599" s="462"/>
      <c r="E599" s="462"/>
      <c r="F599" s="462"/>
      <c r="G599" s="462"/>
      <c r="H599" s="462"/>
    </row>
    <row r="600" spans="1:8" ht="15" customHeight="1" x14ac:dyDescent="0.25">
      <c r="A600" s="462"/>
      <c r="B600" s="462"/>
      <c r="C600" s="462"/>
      <c r="D600" s="462"/>
      <c r="E600" s="462"/>
      <c r="F600" s="462"/>
      <c r="G600" s="462"/>
      <c r="H600" s="462"/>
    </row>
    <row r="601" spans="1:8" ht="15" customHeight="1" x14ac:dyDescent="0.25">
      <c r="A601" s="462"/>
      <c r="B601" s="462"/>
      <c r="C601" s="462"/>
      <c r="D601" s="462"/>
      <c r="E601" s="462"/>
      <c r="F601" s="462"/>
      <c r="G601" s="462"/>
      <c r="H601" s="462"/>
    </row>
    <row r="602" spans="1:8" ht="15" customHeight="1" x14ac:dyDescent="0.25">
      <c r="A602" s="462"/>
      <c r="B602" s="462"/>
      <c r="C602" s="462"/>
      <c r="D602" s="462"/>
      <c r="E602" s="462"/>
      <c r="F602" s="462"/>
      <c r="G602" s="462"/>
      <c r="H602" s="462"/>
    </row>
    <row r="603" spans="1:8" ht="15" customHeight="1" x14ac:dyDescent="0.25">
      <c r="A603" s="462"/>
      <c r="B603" s="462"/>
      <c r="C603" s="462"/>
      <c r="D603" s="462"/>
      <c r="E603" s="462"/>
      <c r="F603" s="462"/>
      <c r="G603" s="462"/>
      <c r="H603" s="462"/>
    </row>
    <row r="604" spans="1:8" ht="15" customHeight="1" x14ac:dyDescent="0.25">
      <c r="A604" s="462"/>
      <c r="B604" s="462"/>
      <c r="C604" s="462"/>
      <c r="D604" s="462"/>
      <c r="E604" s="462"/>
      <c r="F604" s="462"/>
      <c r="G604" s="462"/>
      <c r="H604" s="462"/>
    </row>
    <row r="605" spans="1:8" ht="15" customHeight="1" x14ac:dyDescent="0.25">
      <c r="A605" s="462"/>
      <c r="B605" s="462"/>
      <c r="C605" s="462"/>
      <c r="D605" s="462"/>
      <c r="E605" s="462"/>
      <c r="F605" s="462"/>
      <c r="G605" s="462"/>
      <c r="H605" s="462"/>
    </row>
    <row r="606" spans="1:8" ht="15" customHeight="1" x14ac:dyDescent="0.25">
      <c r="A606" s="462"/>
      <c r="B606" s="462"/>
      <c r="C606" s="462"/>
      <c r="D606" s="462"/>
      <c r="E606" s="462"/>
      <c r="F606" s="462"/>
      <c r="G606" s="462"/>
      <c r="H606" s="462"/>
    </row>
    <row r="607" spans="1:8" ht="15" customHeight="1" x14ac:dyDescent="0.25">
      <c r="A607" s="462"/>
      <c r="B607" s="462"/>
      <c r="C607" s="462"/>
      <c r="D607" s="462"/>
      <c r="E607" s="462"/>
      <c r="F607" s="462"/>
      <c r="G607" s="462"/>
      <c r="H607" s="462"/>
    </row>
    <row r="608" spans="1:8" ht="15" customHeight="1" x14ac:dyDescent="0.25">
      <c r="A608" s="462"/>
      <c r="B608" s="462"/>
      <c r="C608" s="462"/>
      <c r="D608" s="462"/>
      <c r="E608" s="462"/>
      <c r="F608" s="462"/>
      <c r="G608" s="462"/>
      <c r="H608" s="462"/>
    </row>
    <row r="609" spans="1:8" ht="15" customHeight="1" x14ac:dyDescent="0.25">
      <c r="A609" s="462"/>
      <c r="B609" s="462"/>
      <c r="C609" s="462"/>
      <c r="D609" s="462"/>
      <c r="E609" s="462"/>
      <c r="F609" s="462"/>
      <c r="G609" s="462"/>
      <c r="H609" s="462"/>
    </row>
    <row r="610" spans="1:8" ht="15" customHeight="1" x14ac:dyDescent="0.25">
      <c r="A610" s="462"/>
      <c r="B610" s="462"/>
      <c r="C610" s="462"/>
      <c r="D610" s="462"/>
      <c r="E610" s="462"/>
      <c r="F610" s="462"/>
      <c r="G610" s="462"/>
      <c r="H610" s="462"/>
    </row>
    <row r="611" spans="1:8" ht="15" customHeight="1" x14ac:dyDescent="0.25">
      <c r="A611" s="462"/>
      <c r="B611" s="462"/>
      <c r="C611" s="462"/>
      <c r="D611" s="462"/>
      <c r="E611" s="462"/>
      <c r="F611" s="462"/>
      <c r="G611" s="462"/>
      <c r="H611" s="462"/>
    </row>
    <row r="612" spans="1:8" ht="15" customHeight="1" x14ac:dyDescent="0.25">
      <c r="A612" s="462"/>
      <c r="B612" s="462"/>
      <c r="C612" s="462"/>
      <c r="D612" s="462"/>
      <c r="E612" s="462"/>
      <c r="F612" s="462"/>
      <c r="G612" s="462"/>
      <c r="H612" s="462"/>
    </row>
    <row r="613" spans="1:8" ht="15" customHeight="1" x14ac:dyDescent="0.25">
      <c r="A613" s="462"/>
      <c r="B613" s="462"/>
      <c r="C613" s="462"/>
      <c r="D613" s="462"/>
      <c r="E613" s="462"/>
      <c r="F613" s="462"/>
      <c r="G613" s="462"/>
      <c r="H613" s="462"/>
    </row>
    <row r="614" spans="1:8" ht="15" customHeight="1" x14ac:dyDescent="0.25">
      <c r="A614" s="462"/>
      <c r="B614" s="462"/>
      <c r="C614" s="462"/>
      <c r="D614" s="462"/>
      <c r="E614" s="462"/>
      <c r="F614" s="462"/>
      <c r="G614" s="462"/>
      <c r="H614" s="462"/>
    </row>
    <row r="615" spans="1:8" ht="15" customHeight="1" x14ac:dyDescent="0.25">
      <c r="A615" s="462"/>
      <c r="B615" s="462"/>
      <c r="C615" s="462"/>
      <c r="D615" s="462"/>
      <c r="E615" s="462"/>
      <c r="F615" s="462"/>
      <c r="G615" s="462"/>
      <c r="H615" s="462"/>
    </row>
    <row r="616" spans="1:8" ht="15" customHeight="1" x14ac:dyDescent="0.25">
      <c r="A616" s="462"/>
      <c r="B616" s="462"/>
      <c r="C616" s="462"/>
      <c r="D616" s="462"/>
      <c r="E616" s="462"/>
      <c r="F616" s="462"/>
      <c r="G616" s="462"/>
      <c r="H616" s="462"/>
    </row>
    <row r="617" spans="1:8" ht="15" customHeight="1" x14ac:dyDescent="0.25">
      <c r="A617" s="462"/>
      <c r="B617" s="462"/>
      <c r="C617" s="462"/>
      <c r="D617" s="462"/>
      <c r="E617" s="462"/>
      <c r="F617" s="462"/>
      <c r="G617" s="462"/>
      <c r="H617" s="462"/>
    </row>
    <row r="618" spans="1:8" ht="15" customHeight="1" x14ac:dyDescent="0.25">
      <c r="A618" s="462"/>
      <c r="B618" s="462"/>
      <c r="C618" s="462"/>
      <c r="D618" s="462"/>
      <c r="E618" s="462"/>
      <c r="F618" s="462"/>
      <c r="G618" s="462"/>
      <c r="H618" s="462"/>
    </row>
    <row r="619" spans="1:8" ht="15" customHeight="1" x14ac:dyDescent="0.25">
      <c r="A619" s="462"/>
      <c r="B619" s="462"/>
      <c r="C619" s="462"/>
      <c r="D619" s="462"/>
      <c r="E619" s="462"/>
      <c r="F619" s="462"/>
      <c r="G619" s="462"/>
      <c r="H619" s="462"/>
    </row>
    <row r="620" spans="1:8" ht="15" customHeight="1" x14ac:dyDescent="0.25">
      <c r="A620" s="462"/>
      <c r="B620" s="462"/>
      <c r="C620" s="462"/>
      <c r="D620" s="462"/>
      <c r="E620" s="462"/>
      <c r="F620" s="462"/>
      <c r="G620" s="462"/>
      <c r="H620" s="462"/>
    </row>
    <row r="621" spans="1:8" ht="15" customHeight="1" x14ac:dyDescent="0.25">
      <c r="A621" s="462"/>
      <c r="B621" s="462"/>
      <c r="C621" s="462"/>
      <c r="D621" s="462"/>
      <c r="E621" s="462"/>
      <c r="F621" s="462"/>
      <c r="G621" s="462"/>
      <c r="H621" s="462"/>
    </row>
    <row r="622" spans="1:8" ht="15" customHeight="1" x14ac:dyDescent="0.25">
      <c r="A622" s="462"/>
      <c r="B622" s="462"/>
      <c r="C622" s="462"/>
      <c r="D622" s="462"/>
      <c r="E622" s="462"/>
      <c r="F622" s="462"/>
      <c r="G622" s="462"/>
      <c r="H622" s="462"/>
    </row>
    <row r="623" spans="1:8" ht="15" customHeight="1" x14ac:dyDescent="0.25">
      <c r="A623" s="462"/>
      <c r="B623" s="462"/>
      <c r="C623" s="462"/>
      <c r="D623" s="462"/>
      <c r="E623" s="462"/>
      <c r="F623" s="462"/>
      <c r="G623" s="462"/>
      <c r="H623" s="462"/>
    </row>
    <row r="624" spans="1:8" ht="15" customHeight="1" x14ac:dyDescent="0.25">
      <c r="A624" s="462"/>
      <c r="B624" s="462"/>
      <c r="C624" s="462"/>
      <c r="D624" s="462"/>
      <c r="E624" s="462"/>
      <c r="F624" s="462"/>
      <c r="G624" s="462"/>
      <c r="H624" s="462"/>
    </row>
    <row r="625" spans="1:8" ht="15" customHeight="1" x14ac:dyDescent="0.25">
      <c r="A625" s="462"/>
      <c r="B625" s="462"/>
      <c r="C625" s="462"/>
      <c r="D625" s="462"/>
      <c r="E625" s="462"/>
      <c r="F625" s="462"/>
      <c r="G625" s="462"/>
      <c r="H625" s="462"/>
    </row>
    <row r="626" spans="1:8" ht="15" customHeight="1" x14ac:dyDescent="0.25">
      <c r="A626" s="462"/>
      <c r="B626" s="462"/>
      <c r="C626" s="462"/>
      <c r="D626" s="462"/>
      <c r="E626" s="462"/>
      <c r="F626" s="462"/>
      <c r="G626" s="462"/>
      <c r="H626" s="462"/>
    </row>
    <row r="627" spans="1:8" ht="15" customHeight="1" x14ac:dyDescent="0.25">
      <c r="A627" s="462"/>
      <c r="B627" s="462"/>
      <c r="C627" s="462"/>
      <c r="D627" s="462"/>
      <c r="E627" s="462"/>
      <c r="F627" s="462"/>
      <c r="G627" s="462"/>
      <c r="H627" s="462"/>
    </row>
    <row r="628" spans="1:8" ht="15" customHeight="1" x14ac:dyDescent="0.25">
      <c r="A628" s="462"/>
      <c r="B628" s="462"/>
      <c r="C628" s="462"/>
      <c r="D628" s="462"/>
      <c r="E628" s="462"/>
      <c r="F628" s="462"/>
      <c r="G628" s="462"/>
      <c r="H628" s="462"/>
    </row>
    <row r="629" spans="1:8" ht="15" customHeight="1" x14ac:dyDescent="0.25">
      <c r="A629" s="462"/>
      <c r="B629" s="462"/>
      <c r="C629" s="462"/>
      <c r="D629" s="462"/>
      <c r="E629" s="462"/>
      <c r="F629" s="462"/>
      <c r="G629" s="462"/>
      <c r="H629" s="462"/>
    </row>
    <row r="630" spans="1:8" ht="15" customHeight="1" x14ac:dyDescent="0.25">
      <c r="A630" s="462"/>
      <c r="B630" s="462"/>
      <c r="C630" s="462"/>
      <c r="D630" s="462"/>
      <c r="E630" s="462"/>
      <c r="F630" s="462"/>
      <c r="G630" s="462"/>
      <c r="H630" s="462"/>
    </row>
    <row r="631" spans="1:8" ht="15" customHeight="1" x14ac:dyDescent="0.25">
      <c r="A631" s="462"/>
      <c r="B631" s="462"/>
      <c r="C631" s="462"/>
      <c r="D631" s="462"/>
      <c r="E631" s="462"/>
      <c r="F631" s="462"/>
      <c r="G631" s="462"/>
      <c r="H631" s="462"/>
    </row>
    <row r="632" spans="1:8" ht="15" customHeight="1" x14ac:dyDescent="0.25">
      <c r="A632" s="462"/>
      <c r="B632" s="462"/>
      <c r="C632" s="462"/>
      <c r="D632" s="462"/>
      <c r="E632" s="462"/>
      <c r="F632" s="462"/>
      <c r="G632" s="462"/>
      <c r="H632" s="462"/>
    </row>
    <row r="633" spans="1:8" ht="15" customHeight="1" x14ac:dyDescent="0.25">
      <c r="A633" s="462"/>
      <c r="B633" s="462"/>
      <c r="C633" s="462"/>
      <c r="D633" s="462"/>
      <c r="E633" s="462"/>
      <c r="F633" s="462"/>
      <c r="G633" s="462"/>
      <c r="H633" s="462"/>
    </row>
    <row r="634" spans="1:8" ht="15" customHeight="1" x14ac:dyDescent="0.25">
      <c r="A634" s="462"/>
      <c r="B634" s="462"/>
      <c r="C634" s="462"/>
      <c r="D634" s="462"/>
      <c r="E634" s="462"/>
      <c r="F634" s="462"/>
      <c r="G634" s="462"/>
      <c r="H634" s="462"/>
    </row>
    <row r="635" spans="1:8" ht="15" customHeight="1" x14ac:dyDescent="0.25">
      <c r="A635" s="462"/>
      <c r="B635" s="462"/>
      <c r="C635" s="462"/>
      <c r="D635" s="462"/>
      <c r="E635" s="462"/>
      <c r="F635" s="462"/>
      <c r="G635" s="462"/>
      <c r="H635" s="462"/>
    </row>
    <row r="636" spans="1:8" ht="15" customHeight="1" x14ac:dyDescent="0.25">
      <c r="A636" s="462"/>
      <c r="B636" s="462"/>
      <c r="C636" s="462"/>
      <c r="D636" s="462"/>
      <c r="E636" s="462"/>
      <c r="F636" s="462"/>
      <c r="G636" s="462"/>
      <c r="H636" s="462"/>
    </row>
    <row r="637" spans="1:8" ht="15" customHeight="1" x14ac:dyDescent="0.25">
      <c r="A637" s="462"/>
      <c r="B637" s="462"/>
      <c r="C637" s="462"/>
      <c r="D637" s="462"/>
      <c r="E637" s="462"/>
      <c r="F637" s="462"/>
      <c r="G637" s="462"/>
      <c r="H637" s="462"/>
    </row>
    <row r="638" spans="1:8" ht="15" customHeight="1" x14ac:dyDescent="0.25">
      <c r="A638" s="462"/>
      <c r="B638" s="462"/>
      <c r="C638" s="462"/>
      <c r="D638" s="462"/>
      <c r="E638" s="462"/>
      <c r="F638" s="462"/>
      <c r="G638" s="462"/>
      <c r="H638" s="462"/>
    </row>
    <row r="639" spans="1:8" ht="15" customHeight="1" x14ac:dyDescent="0.25">
      <c r="A639" s="462"/>
      <c r="B639" s="462"/>
      <c r="C639" s="462"/>
      <c r="D639" s="462"/>
      <c r="E639" s="462"/>
      <c r="F639" s="462"/>
      <c r="G639" s="462"/>
      <c r="H639" s="462"/>
    </row>
    <row r="640" spans="1:8" ht="15" customHeight="1" x14ac:dyDescent="0.25">
      <c r="A640" s="462"/>
      <c r="B640" s="462"/>
      <c r="C640" s="462"/>
      <c r="D640" s="462"/>
      <c r="E640" s="462"/>
      <c r="F640" s="462"/>
      <c r="G640" s="462"/>
      <c r="H640" s="462"/>
    </row>
    <row r="641" spans="1:8" ht="15" customHeight="1" x14ac:dyDescent="0.25">
      <c r="A641" s="462"/>
      <c r="B641" s="462"/>
      <c r="C641" s="462"/>
      <c r="D641" s="462"/>
      <c r="E641" s="462"/>
      <c r="F641" s="462"/>
      <c r="G641" s="462"/>
      <c r="H641" s="462"/>
    </row>
    <row r="642" spans="1:8" ht="15" customHeight="1" x14ac:dyDescent="0.25">
      <c r="A642" s="462"/>
      <c r="B642" s="462"/>
      <c r="C642" s="462"/>
      <c r="D642" s="462"/>
      <c r="E642" s="462"/>
      <c r="F642" s="462"/>
      <c r="G642" s="462"/>
      <c r="H642" s="462"/>
    </row>
    <row r="643" spans="1:8" ht="15" customHeight="1" x14ac:dyDescent="0.25">
      <c r="A643" s="462"/>
      <c r="B643" s="462"/>
      <c r="C643" s="462"/>
      <c r="D643" s="462"/>
      <c r="E643" s="462"/>
      <c r="F643" s="462"/>
      <c r="G643" s="462"/>
      <c r="H643" s="462"/>
    </row>
    <row r="644" spans="1:8" ht="15" customHeight="1" x14ac:dyDescent="0.25">
      <c r="A644" s="462"/>
      <c r="B644" s="462"/>
      <c r="C644" s="462"/>
      <c r="D644" s="462"/>
      <c r="E644" s="462"/>
      <c r="F644" s="462"/>
      <c r="G644" s="462"/>
      <c r="H644" s="462"/>
    </row>
    <row r="645" spans="1:8" ht="15" customHeight="1" x14ac:dyDescent="0.25">
      <c r="A645" s="462"/>
      <c r="B645" s="462"/>
      <c r="C645" s="462"/>
      <c r="D645" s="462"/>
      <c r="E645" s="462"/>
      <c r="F645" s="462"/>
      <c r="G645" s="462"/>
      <c r="H645" s="462"/>
    </row>
    <row r="646" spans="1:8" ht="15" customHeight="1" x14ac:dyDescent="0.25">
      <c r="A646" s="462"/>
      <c r="B646" s="462"/>
      <c r="C646" s="462"/>
      <c r="D646" s="462"/>
      <c r="E646" s="462"/>
      <c r="F646" s="462"/>
      <c r="G646" s="462"/>
      <c r="H646" s="462"/>
    </row>
    <row r="647" spans="1:8" ht="15" customHeight="1" x14ac:dyDescent="0.25">
      <c r="A647" s="462"/>
      <c r="B647" s="462"/>
      <c r="C647" s="462"/>
      <c r="D647" s="462"/>
      <c r="E647" s="462"/>
      <c r="F647" s="462"/>
      <c r="G647" s="462"/>
      <c r="H647" s="462"/>
    </row>
    <row r="648" spans="1:8" ht="15" customHeight="1" x14ac:dyDescent="0.25">
      <c r="A648" s="462"/>
      <c r="B648" s="462"/>
      <c r="C648" s="462"/>
      <c r="D648" s="462"/>
      <c r="E648" s="462"/>
      <c r="F648" s="462"/>
      <c r="G648" s="462"/>
      <c r="H648" s="462"/>
    </row>
    <row r="649" spans="1:8" ht="15" customHeight="1" x14ac:dyDescent="0.25">
      <c r="A649" s="462"/>
      <c r="B649" s="462"/>
      <c r="C649" s="462"/>
      <c r="D649" s="462"/>
      <c r="E649" s="462"/>
      <c r="F649" s="462"/>
      <c r="G649" s="462"/>
      <c r="H649" s="462"/>
    </row>
    <row r="650" spans="1:8" ht="15" customHeight="1" x14ac:dyDescent="0.25">
      <c r="A650" s="462"/>
      <c r="B650" s="462"/>
      <c r="C650" s="462"/>
      <c r="D650" s="462"/>
      <c r="E650" s="462"/>
      <c r="F650" s="462"/>
      <c r="G650" s="462"/>
      <c r="H650" s="462"/>
    </row>
    <row r="651" spans="1:8" ht="15" customHeight="1" x14ac:dyDescent="0.25">
      <c r="A651" s="462"/>
      <c r="B651" s="462"/>
      <c r="C651" s="462"/>
      <c r="D651" s="462"/>
      <c r="E651" s="462"/>
      <c r="F651" s="462"/>
      <c r="G651" s="462"/>
      <c r="H651" s="462"/>
    </row>
    <row r="652" spans="1:8" ht="15" customHeight="1" x14ac:dyDescent="0.25">
      <c r="A652" s="462"/>
      <c r="B652" s="462"/>
      <c r="C652" s="462"/>
      <c r="D652" s="462"/>
      <c r="E652" s="462"/>
      <c r="F652" s="462"/>
      <c r="G652" s="462"/>
      <c r="H652" s="462"/>
    </row>
    <row r="653" spans="1:8" ht="15" customHeight="1" x14ac:dyDescent="0.25">
      <c r="A653" s="462"/>
      <c r="B653" s="462"/>
      <c r="C653" s="462"/>
      <c r="D653" s="462"/>
      <c r="E653" s="462"/>
      <c r="F653" s="462"/>
      <c r="G653" s="462"/>
      <c r="H653" s="462"/>
    </row>
    <row r="654" spans="1:8" ht="15" customHeight="1" x14ac:dyDescent="0.25">
      <c r="A654" s="462"/>
      <c r="B654" s="462"/>
      <c r="C654" s="462"/>
      <c r="D654" s="462"/>
      <c r="E654" s="462"/>
      <c r="F654" s="462"/>
      <c r="G654" s="462"/>
      <c r="H654" s="462"/>
    </row>
    <row r="655" spans="1:8" ht="15" customHeight="1" x14ac:dyDescent="0.25">
      <c r="A655" s="462"/>
      <c r="B655" s="462"/>
      <c r="C655" s="462"/>
      <c r="D655" s="462"/>
      <c r="E655" s="462"/>
      <c r="F655" s="462"/>
      <c r="G655" s="462"/>
      <c r="H655" s="462"/>
    </row>
    <row r="656" spans="1:8" ht="15" customHeight="1" x14ac:dyDescent="0.25">
      <c r="A656" s="462"/>
      <c r="B656" s="462"/>
      <c r="C656" s="462"/>
      <c r="D656" s="462"/>
      <c r="E656" s="462"/>
      <c r="F656" s="462"/>
      <c r="G656" s="462"/>
      <c r="H656" s="462"/>
    </row>
    <row r="657" spans="1:8" ht="15" customHeight="1" x14ac:dyDescent="0.25">
      <c r="A657" s="462"/>
      <c r="B657" s="462"/>
      <c r="C657" s="462"/>
      <c r="D657" s="462"/>
      <c r="E657" s="462"/>
      <c r="F657" s="462"/>
      <c r="G657" s="462"/>
      <c r="H657" s="462"/>
    </row>
    <row r="658" spans="1:8" ht="15" customHeight="1" x14ac:dyDescent="0.25">
      <c r="A658" s="462"/>
      <c r="B658" s="462"/>
      <c r="C658" s="462"/>
      <c r="D658" s="462"/>
      <c r="E658" s="462"/>
      <c r="F658" s="462"/>
      <c r="G658" s="462"/>
      <c r="H658" s="462"/>
    </row>
    <row r="659" spans="1:8" ht="15" customHeight="1" x14ac:dyDescent="0.25">
      <c r="A659" s="462"/>
      <c r="B659" s="462"/>
      <c r="C659" s="462"/>
      <c r="D659" s="462"/>
      <c r="E659" s="462"/>
      <c r="F659" s="462"/>
      <c r="G659" s="462"/>
      <c r="H659" s="462"/>
    </row>
    <row r="660" spans="1:8" ht="15" customHeight="1" x14ac:dyDescent="0.25">
      <c r="A660" s="462"/>
      <c r="B660" s="462"/>
      <c r="C660" s="462"/>
      <c r="D660" s="462"/>
      <c r="E660" s="462"/>
      <c r="F660" s="462"/>
      <c r="G660" s="462"/>
      <c r="H660" s="462"/>
    </row>
    <row r="661" spans="1:8" ht="15" customHeight="1" x14ac:dyDescent="0.25">
      <c r="A661" s="462"/>
      <c r="B661" s="462"/>
      <c r="C661" s="462"/>
      <c r="D661" s="462"/>
      <c r="E661" s="462"/>
      <c r="F661" s="462"/>
      <c r="G661" s="462"/>
      <c r="H661" s="462"/>
    </row>
    <row r="662" spans="1:8" ht="15" customHeight="1" x14ac:dyDescent="0.25">
      <c r="A662" s="462"/>
      <c r="B662" s="462"/>
      <c r="C662" s="462"/>
      <c r="D662" s="462"/>
      <c r="E662" s="462"/>
      <c r="F662" s="462"/>
      <c r="G662" s="462"/>
      <c r="H662" s="462"/>
    </row>
    <row r="663" spans="1:8" ht="15" customHeight="1" x14ac:dyDescent="0.25">
      <c r="A663" s="462"/>
      <c r="B663" s="462"/>
      <c r="C663" s="462"/>
      <c r="D663" s="462"/>
      <c r="E663" s="462"/>
      <c r="F663" s="462"/>
      <c r="G663" s="462"/>
      <c r="H663" s="462"/>
    </row>
    <row r="664" spans="1:8" ht="15" customHeight="1" x14ac:dyDescent="0.25">
      <c r="A664" s="462"/>
      <c r="B664" s="462"/>
      <c r="C664" s="462"/>
      <c r="D664" s="462"/>
      <c r="E664" s="462"/>
      <c r="F664" s="462"/>
      <c r="G664" s="462"/>
      <c r="H664" s="462"/>
    </row>
    <row r="665" spans="1:8" ht="15" customHeight="1" x14ac:dyDescent="0.25">
      <c r="A665" s="462"/>
      <c r="B665" s="462"/>
      <c r="C665" s="462"/>
      <c r="D665" s="462"/>
      <c r="E665" s="462"/>
      <c r="F665" s="462"/>
      <c r="G665" s="462"/>
      <c r="H665" s="462"/>
    </row>
    <row r="666" spans="1:8" ht="15" customHeight="1" x14ac:dyDescent="0.25">
      <c r="A666" s="462"/>
      <c r="B666" s="462"/>
      <c r="C666" s="462"/>
      <c r="D666" s="462"/>
      <c r="E666" s="462"/>
      <c r="F666" s="462"/>
      <c r="G666" s="462"/>
      <c r="H666" s="462"/>
    </row>
    <row r="667" spans="1:8" ht="15" customHeight="1" x14ac:dyDescent="0.25">
      <c r="A667" s="462"/>
      <c r="B667" s="462"/>
      <c r="C667" s="462"/>
      <c r="D667" s="462"/>
      <c r="E667" s="462"/>
      <c r="F667" s="462"/>
      <c r="G667" s="462"/>
      <c r="H667" s="462"/>
    </row>
    <row r="668" spans="1:8" ht="15" customHeight="1" x14ac:dyDescent="0.25">
      <c r="A668" s="462"/>
      <c r="B668" s="462"/>
      <c r="C668" s="462"/>
      <c r="D668" s="462"/>
      <c r="E668" s="462"/>
      <c r="F668" s="462"/>
      <c r="G668" s="462"/>
      <c r="H668" s="462"/>
    </row>
    <row r="669" spans="1:8" ht="15" customHeight="1" x14ac:dyDescent="0.25">
      <c r="A669" s="462"/>
      <c r="B669" s="462"/>
      <c r="C669" s="462"/>
      <c r="D669" s="462"/>
      <c r="E669" s="462"/>
      <c r="F669" s="462"/>
      <c r="G669" s="462"/>
      <c r="H669" s="462"/>
    </row>
    <row r="670" spans="1:8" ht="15" customHeight="1" x14ac:dyDescent="0.25">
      <c r="A670" s="462"/>
      <c r="B670" s="462"/>
      <c r="C670" s="462"/>
      <c r="D670" s="462"/>
      <c r="E670" s="462"/>
      <c r="F670" s="462"/>
      <c r="G670" s="462"/>
      <c r="H670" s="462"/>
    </row>
    <row r="671" spans="1:8" ht="15" customHeight="1" x14ac:dyDescent="0.25">
      <c r="A671" s="462"/>
      <c r="B671" s="462"/>
      <c r="C671" s="462"/>
      <c r="D671" s="462"/>
      <c r="E671" s="462"/>
      <c r="F671" s="462"/>
      <c r="G671" s="462"/>
      <c r="H671" s="462"/>
    </row>
    <row r="672" spans="1:8" ht="15" customHeight="1" x14ac:dyDescent="0.25">
      <c r="A672" s="462"/>
      <c r="B672" s="462"/>
      <c r="C672" s="462"/>
      <c r="D672" s="462"/>
      <c r="E672" s="462"/>
      <c r="F672" s="462"/>
      <c r="G672" s="462"/>
      <c r="H672" s="462"/>
    </row>
    <row r="673" spans="1:8" ht="15" customHeight="1" x14ac:dyDescent="0.25">
      <c r="A673" s="462"/>
      <c r="B673" s="462"/>
      <c r="C673" s="462"/>
      <c r="D673" s="462"/>
      <c r="E673" s="462"/>
      <c r="F673" s="462"/>
      <c r="G673" s="462"/>
      <c r="H673" s="462"/>
    </row>
    <row r="674" spans="1:8" ht="15" customHeight="1" x14ac:dyDescent="0.25">
      <c r="A674" s="462"/>
      <c r="B674" s="462"/>
      <c r="C674" s="462"/>
      <c r="D674" s="462"/>
      <c r="E674" s="462"/>
      <c r="F674" s="462"/>
      <c r="G674" s="462"/>
      <c r="H674" s="462"/>
    </row>
    <row r="675" spans="1:8" ht="15" customHeight="1" x14ac:dyDescent="0.25">
      <c r="A675" s="462"/>
      <c r="B675" s="462"/>
      <c r="C675" s="462"/>
      <c r="D675" s="462"/>
      <c r="E675" s="462"/>
      <c r="F675" s="462"/>
      <c r="G675" s="462"/>
      <c r="H675" s="462"/>
    </row>
    <row r="676" spans="1:8" ht="15" customHeight="1" x14ac:dyDescent="0.25">
      <c r="A676" s="462"/>
      <c r="B676" s="462"/>
      <c r="C676" s="462"/>
      <c r="D676" s="462"/>
      <c r="E676" s="462"/>
      <c r="F676" s="462"/>
      <c r="G676" s="462"/>
      <c r="H676" s="462"/>
    </row>
    <row r="677" spans="1:8" ht="15" customHeight="1" x14ac:dyDescent="0.25">
      <c r="A677" s="462"/>
      <c r="B677" s="462"/>
      <c r="C677" s="462"/>
      <c r="D677" s="462"/>
      <c r="E677" s="462"/>
      <c r="F677" s="462"/>
      <c r="G677" s="462"/>
      <c r="H677" s="462"/>
    </row>
    <row r="678" spans="1:8" ht="15" customHeight="1" x14ac:dyDescent="0.25">
      <c r="A678" s="462"/>
      <c r="B678" s="462"/>
      <c r="C678" s="462"/>
      <c r="D678" s="462"/>
      <c r="E678" s="462"/>
      <c r="F678" s="462"/>
      <c r="G678" s="462"/>
      <c r="H678" s="462"/>
    </row>
    <row r="679" spans="1:8" ht="15" customHeight="1" x14ac:dyDescent="0.25">
      <c r="A679" s="462"/>
      <c r="B679" s="462"/>
      <c r="C679" s="462"/>
      <c r="D679" s="462"/>
      <c r="E679" s="462"/>
      <c r="F679" s="462"/>
      <c r="G679" s="462"/>
      <c r="H679" s="462"/>
    </row>
    <row r="680" spans="1:8" ht="15" customHeight="1" x14ac:dyDescent="0.25">
      <c r="A680" s="462"/>
      <c r="B680" s="462"/>
      <c r="C680" s="462"/>
      <c r="D680" s="462"/>
      <c r="E680" s="462"/>
      <c r="F680" s="462"/>
      <c r="G680" s="462"/>
      <c r="H680" s="462"/>
    </row>
    <row r="681" spans="1:8" ht="15" customHeight="1" x14ac:dyDescent="0.25">
      <c r="A681" s="462"/>
      <c r="B681" s="462"/>
      <c r="C681" s="462"/>
      <c r="D681" s="462"/>
      <c r="E681" s="462"/>
      <c r="F681" s="462"/>
      <c r="G681" s="462"/>
      <c r="H681" s="462"/>
    </row>
    <row r="682" spans="1:8" ht="15" customHeight="1" x14ac:dyDescent="0.25">
      <c r="A682" s="462"/>
      <c r="B682" s="462"/>
      <c r="C682" s="462"/>
      <c r="D682" s="462"/>
      <c r="E682" s="462"/>
      <c r="F682" s="462"/>
      <c r="G682" s="462"/>
      <c r="H682" s="462"/>
    </row>
    <row r="683" spans="1:8" ht="15" customHeight="1" x14ac:dyDescent="0.25">
      <c r="A683" s="462"/>
      <c r="B683" s="462"/>
      <c r="C683" s="462"/>
      <c r="D683" s="462"/>
      <c r="E683" s="462"/>
      <c r="F683" s="462"/>
      <c r="G683" s="462"/>
      <c r="H683" s="462"/>
    </row>
    <row r="684" spans="1:8" ht="15" customHeight="1" x14ac:dyDescent="0.25">
      <c r="A684" s="462"/>
      <c r="B684" s="462"/>
      <c r="C684" s="462"/>
      <c r="D684" s="462"/>
      <c r="E684" s="462"/>
      <c r="F684" s="462"/>
      <c r="G684" s="462"/>
      <c r="H684" s="462"/>
    </row>
    <row r="685" spans="1:8" ht="15" customHeight="1" x14ac:dyDescent="0.25">
      <c r="A685" s="462"/>
      <c r="B685" s="462"/>
      <c r="C685" s="462"/>
      <c r="D685" s="462"/>
      <c r="E685" s="462"/>
      <c r="F685" s="462"/>
      <c r="G685" s="462"/>
      <c r="H685" s="462"/>
    </row>
    <row r="686" spans="1:8" ht="15" customHeight="1" x14ac:dyDescent="0.25">
      <c r="A686" s="462"/>
      <c r="B686" s="462"/>
      <c r="C686" s="462"/>
      <c r="D686" s="462"/>
      <c r="E686" s="462"/>
      <c r="F686" s="462"/>
      <c r="G686" s="462"/>
      <c r="H686" s="462"/>
    </row>
    <row r="687" spans="1:8" ht="15" customHeight="1" x14ac:dyDescent="0.25">
      <c r="A687" s="462"/>
      <c r="B687" s="462"/>
      <c r="C687" s="462"/>
      <c r="D687" s="462"/>
      <c r="E687" s="462"/>
      <c r="F687" s="462"/>
      <c r="G687" s="462"/>
      <c r="H687" s="462"/>
    </row>
    <row r="688" spans="1:8" ht="15" customHeight="1" x14ac:dyDescent="0.25">
      <c r="A688" s="462"/>
      <c r="B688" s="462"/>
      <c r="C688" s="462"/>
      <c r="D688" s="462"/>
      <c r="E688" s="462"/>
      <c r="F688" s="462"/>
      <c r="G688" s="462"/>
      <c r="H688" s="462"/>
    </row>
    <row r="689" spans="1:8" ht="15" customHeight="1" x14ac:dyDescent="0.25">
      <c r="A689" s="462"/>
      <c r="B689" s="462"/>
      <c r="C689" s="462"/>
      <c r="D689" s="462"/>
      <c r="E689" s="462"/>
      <c r="F689" s="462"/>
      <c r="G689" s="462"/>
      <c r="H689" s="462"/>
    </row>
    <row r="690" spans="1:8" ht="15" customHeight="1" x14ac:dyDescent="0.25">
      <c r="A690" s="462"/>
      <c r="B690" s="462"/>
      <c r="C690" s="462"/>
      <c r="D690" s="462"/>
      <c r="E690" s="462"/>
      <c r="F690" s="462"/>
      <c r="G690" s="462"/>
      <c r="H690" s="462"/>
    </row>
    <row r="691" spans="1:8" ht="15" customHeight="1" x14ac:dyDescent="0.25">
      <c r="A691" s="462"/>
      <c r="B691" s="462"/>
      <c r="C691" s="462"/>
      <c r="D691" s="462"/>
      <c r="E691" s="462"/>
      <c r="F691" s="462"/>
      <c r="G691" s="462"/>
      <c r="H691" s="462"/>
    </row>
    <row r="692" spans="1:8" ht="15" customHeight="1" x14ac:dyDescent="0.25">
      <c r="A692" s="462"/>
      <c r="B692" s="462"/>
      <c r="C692" s="462"/>
      <c r="D692" s="462"/>
      <c r="E692" s="462"/>
      <c r="F692" s="462"/>
      <c r="G692" s="462"/>
      <c r="H692" s="462"/>
    </row>
    <row r="693" spans="1:8" ht="15" customHeight="1" x14ac:dyDescent="0.25">
      <c r="A693" s="462"/>
      <c r="B693" s="462"/>
      <c r="C693" s="462"/>
      <c r="D693" s="462"/>
      <c r="E693" s="462"/>
      <c r="F693" s="462"/>
      <c r="G693" s="462"/>
      <c r="H693" s="462"/>
    </row>
    <row r="694" spans="1:8" ht="15" customHeight="1" x14ac:dyDescent="0.25">
      <c r="A694" s="462"/>
      <c r="B694" s="462"/>
      <c r="C694" s="462"/>
      <c r="D694" s="462"/>
      <c r="E694" s="462"/>
      <c r="F694" s="462"/>
      <c r="G694" s="462"/>
      <c r="H694" s="462"/>
    </row>
    <row r="695" spans="1:8" ht="15" customHeight="1" x14ac:dyDescent="0.25">
      <c r="A695" s="931" t="s">
        <v>244</v>
      </c>
      <c r="B695" s="931"/>
      <c r="C695" s="931"/>
      <c r="D695" s="931"/>
      <c r="E695" s="931"/>
      <c r="F695" s="931"/>
      <c r="G695" s="931"/>
      <c r="H695" s="931"/>
    </row>
    <row r="696" spans="1:8" ht="15" customHeight="1" x14ac:dyDescent="0.25">
      <c r="A696" s="932"/>
      <c r="B696" s="932"/>
      <c r="C696" s="932"/>
      <c r="D696" s="932"/>
      <c r="E696" s="932"/>
      <c r="F696" s="932"/>
      <c r="G696" s="932"/>
      <c r="H696" s="932"/>
    </row>
    <row r="697" spans="1:8" ht="15" customHeight="1" x14ac:dyDescent="0.25">
      <c r="A697" s="462"/>
      <c r="B697" s="462"/>
      <c r="C697" s="462"/>
      <c r="D697" s="462"/>
      <c r="E697" s="462"/>
      <c r="F697" s="462"/>
      <c r="G697" s="462"/>
      <c r="H697" s="462"/>
    </row>
    <row r="698" spans="1:8" ht="15" customHeight="1" x14ac:dyDescent="0.25">
      <c r="A698" s="462"/>
      <c r="B698" s="462"/>
      <c r="C698" s="462"/>
      <c r="D698" s="462"/>
      <c r="E698" s="462"/>
      <c r="F698" s="462"/>
      <c r="G698" s="462"/>
      <c r="H698" s="462"/>
    </row>
    <row r="699" spans="1:8" ht="15" customHeight="1" x14ac:dyDescent="0.25">
      <c r="A699" s="462"/>
      <c r="B699" s="462"/>
      <c r="C699" s="462"/>
      <c r="D699" s="462"/>
      <c r="E699" s="462"/>
      <c r="F699" s="462"/>
      <c r="G699" s="462"/>
      <c r="H699" s="462"/>
    </row>
    <row r="700" spans="1:8" ht="15" customHeight="1" x14ac:dyDescent="0.25">
      <c r="A700" s="462"/>
      <c r="B700" s="462"/>
      <c r="C700" s="462"/>
      <c r="D700" s="462"/>
      <c r="E700" s="462"/>
      <c r="F700" s="462"/>
      <c r="G700" s="462"/>
      <c r="H700" s="462"/>
    </row>
    <row r="701" spans="1:8" ht="15" customHeight="1" x14ac:dyDescent="0.25">
      <c r="A701" s="462"/>
      <c r="B701" s="462"/>
      <c r="C701" s="462"/>
      <c r="D701" s="462"/>
      <c r="E701" s="462"/>
      <c r="F701" s="462"/>
      <c r="G701" s="462"/>
      <c r="H701" s="462"/>
    </row>
    <row r="702" spans="1:8" ht="15" customHeight="1" x14ac:dyDescent="0.25">
      <c r="A702" s="462"/>
      <c r="B702" s="462"/>
      <c r="C702" s="462"/>
      <c r="D702" s="462"/>
      <c r="E702" s="462"/>
      <c r="F702" s="462"/>
      <c r="G702" s="462"/>
      <c r="H702" s="462"/>
    </row>
    <row r="703" spans="1:8" ht="15" customHeight="1" x14ac:dyDescent="0.25">
      <c r="A703" s="462"/>
      <c r="B703" s="462"/>
      <c r="C703" s="462"/>
      <c r="D703" s="462"/>
      <c r="E703" s="462"/>
      <c r="F703" s="462"/>
      <c r="G703" s="462"/>
      <c r="H703" s="462"/>
    </row>
    <row r="704" spans="1:8" ht="15" customHeight="1" x14ac:dyDescent="0.25">
      <c r="A704" s="462"/>
      <c r="B704" s="462"/>
      <c r="C704" s="462"/>
      <c r="D704" s="462"/>
      <c r="E704" s="462"/>
      <c r="F704" s="462"/>
      <c r="G704" s="462"/>
      <c r="H704" s="462"/>
    </row>
    <row r="705" spans="1:8" ht="15" customHeight="1" x14ac:dyDescent="0.25">
      <c r="A705" s="462"/>
      <c r="B705" s="462"/>
      <c r="C705" s="462"/>
      <c r="D705" s="462"/>
      <c r="E705" s="462"/>
      <c r="F705" s="462"/>
      <c r="G705" s="462"/>
      <c r="H705" s="462"/>
    </row>
    <row r="706" spans="1:8" ht="15" customHeight="1" x14ac:dyDescent="0.25">
      <c r="A706" s="462"/>
      <c r="B706" s="462"/>
      <c r="C706" s="462"/>
      <c r="D706" s="462"/>
      <c r="E706" s="462"/>
      <c r="F706" s="462"/>
      <c r="G706" s="462"/>
      <c r="H706" s="462"/>
    </row>
    <row r="707" spans="1:8" ht="15" customHeight="1" x14ac:dyDescent="0.25">
      <c r="A707" s="462"/>
      <c r="B707" s="462"/>
      <c r="C707" s="462"/>
      <c r="D707" s="462"/>
      <c r="E707" s="462"/>
      <c r="F707" s="462"/>
      <c r="G707" s="462"/>
      <c r="H707" s="462"/>
    </row>
    <row r="708" spans="1:8" ht="15" customHeight="1" x14ac:dyDescent="0.25">
      <c r="A708" s="462"/>
      <c r="B708" s="462"/>
      <c r="C708" s="462"/>
      <c r="D708" s="462"/>
      <c r="E708" s="462"/>
      <c r="F708" s="462"/>
      <c r="G708" s="462"/>
      <c r="H708" s="462"/>
    </row>
    <row r="709" spans="1:8" ht="15" customHeight="1" x14ac:dyDescent="0.25">
      <c r="A709" s="462"/>
      <c r="B709" s="462"/>
      <c r="C709" s="462"/>
      <c r="D709" s="462"/>
      <c r="E709" s="462"/>
      <c r="F709" s="462"/>
      <c r="G709" s="462"/>
      <c r="H709" s="462"/>
    </row>
    <row r="710" spans="1:8" ht="15" customHeight="1" x14ac:dyDescent="0.25">
      <c r="A710" s="462"/>
      <c r="B710" s="462"/>
      <c r="C710" s="462"/>
      <c r="D710" s="462"/>
      <c r="E710" s="462"/>
      <c r="F710" s="462"/>
      <c r="G710" s="462"/>
      <c r="H710" s="462"/>
    </row>
    <row r="711" spans="1:8" ht="15" customHeight="1" x14ac:dyDescent="0.25">
      <c r="A711" s="462"/>
      <c r="B711" s="462"/>
      <c r="C711" s="462"/>
      <c r="D711" s="462"/>
      <c r="E711" s="462"/>
      <c r="F711" s="462"/>
      <c r="G711" s="462"/>
      <c r="H711" s="462"/>
    </row>
    <row r="712" spans="1:8" ht="15" customHeight="1" x14ac:dyDescent="0.25">
      <c r="A712" s="462"/>
      <c r="B712" s="462"/>
      <c r="C712" s="462"/>
      <c r="D712" s="462"/>
      <c r="E712" s="462"/>
      <c r="F712" s="462"/>
      <c r="G712" s="462"/>
      <c r="H712" s="462"/>
    </row>
    <row r="713" spans="1:8" ht="15" customHeight="1" x14ac:dyDescent="0.25">
      <c r="A713" s="462"/>
      <c r="B713" s="462"/>
      <c r="C713" s="462"/>
      <c r="D713" s="462"/>
      <c r="E713" s="462"/>
      <c r="F713" s="462"/>
      <c r="G713" s="462"/>
      <c r="H713" s="462"/>
    </row>
    <row r="714" spans="1:8" ht="15" customHeight="1" x14ac:dyDescent="0.25">
      <c r="A714" s="462"/>
      <c r="B714" s="462"/>
      <c r="C714" s="462"/>
      <c r="D714" s="462"/>
      <c r="E714" s="462"/>
      <c r="F714" s="462"/>
      <c r="G714" s="462"/>
      <c r="H714" s="462"/>
    </row>
    <row r="715" spans="1:8" ht="15" customHeight="1" x14ac:dyDescent="0.25">
      <c r="A715" s="462"/>
      <c r="B715" s="462"/>
      <c r="C715" s="462"/>
      <c r="D715" s="462"/>
      <c r="E715" s="462"/>
      <c r="F715" s="462"/>
      <c r="G715" s="462"/>
      <c r="H715" s="462"/>
    </row>
    <row r="716" spans="1:8" ht="15" customHeight="1" x14ac:dyDescent="0.25">
      <c r="A716" s="462"/>
      <c r="B716" s="462"/>
      <c r="C716" s="462"/>
      <c r="D716" s="462"/>
      <c r="E716" s="462"/>
      <c r="F716" s="462"/>
      <c r="G716" s="462"/>
      <c r="H716" s="462"/>
    </row>
    <row r="717" spans="1:8" ht="15" customHeight="1" x14ac:dyDescent="0.25">
      <c r="A717" s="462"/>
      <c r="B717" s="462"/>
      <c r="C717" s="462"/>
      <c r="D717" s="462"/>
      <c r="E717" s="462"/>
      <c r="F717" s="462"/>
      <c r="G717" s="462"/>
      <c r="H717" s="462"/>
    </row>
    <row r="718" spans="1:8" ht="15" customHeight="1" x14ac:dyDescent="0.25">
      <c r="A718" s="462"/>
      <c r="B718" s="462"/>
      <c r="C718" s="462"/>
      <c r="D718" s="462"/>
      <c r="E718" s="462"/>
      <c r="F718" s="462"/>
      <c r="G718" s="462"/>
      <c r="H718" s="462"/>
    </row>
    <row r="719" spans="1:8" ht="15" customHeight="1" x14ac:dyDescent="0.25">
      <c r="A719" s="462"/>
      <c r="B719" s="462"/>
      <c r="C719" s="462"/>
      <c r="D719" s="462"/>
      <c r="E719" s="462"/>
      <c r="F719" s="462"/>
      <c r="G719" s="462"/>
      <c r="H719" s="462"/>
    </row>
    <row r="720" spans="1:8" ht="15" customHeight="1" x14ac:dyDescent="0.25">
      <c r="A720" s="462"/>
      <c r="B720" s="462"/>
      <c r="C720" s="462"/>
      <c r="D720" s="462"/>
      <c r="E720" s="462"/>
      <c r="F720" s="462"/>
      <c r="G720" s="462"/>
      <c r="H720" s="462"/>
    </row>
    <row r="721" spans="1:8" ht="15" customHeight="1" x14ac:dyDescent="0.25">
      <c r="A721" s="462"/>
      <c r="B721" s="462"/>
      <c r="C721" s="462"/>
      <c r="D721" s="462"/>
      <c r="E721" s="462"/>
      <c r="F721" s="462"/>
      <c r="G721" s="462"/>
      <c r="H721" s="462"/>
    </row>
    <row r="722" spans="1:8" ht="15" customHeight="1" x14ac:dyDescent="0.25">
      <c r="A722" s="462"/>
      <c r="B722" s="462"/>
      <c r="C722" s="462"/>
      <c r="D722" s="462"/>
      <c r="E722" s="462"/>
      <c r="F722" s="462"/>
      <c r="G722" s="462"/>
      <c r="H722" s="462"/>
    </row>
    <row r="723" spans="1:8" ht="15" customHeight="1" x14ac:dyDescent="0.25">
      <c r="A723" s="462"/>
      <c r="B723" s="462"/>
      <c r="C723" s="462"/>
      <c r="D723" s="462"/>
      <c r="E723" s="462"/>
      <c r="F723" s="462"/>
      <c r="G723" s="462"/>
      <c r="H723" s="462"/>
    </row>
    <row r="724" spans="1:8" ht="15" customHeight="1" x14ac:dyDescent="0.25">
      <c r="A724" s="462"/>
      <c r="B724" s="462"/>
      <c r="C724" s="462"/>
      <c r="D724" s="462"/>
      <c r="E724" s="462"/>
      <c r="F724" s="462"/>
      <c r="G724" s="462"/>
      <c r="H724" s="462"/>
    </row>
    <row r="725" spans="1:8" ht="15" customHeight="1" x14ac:dyDescent="0.25">
      <c r="A725" s="462"/>
      <c r="B725" s="462"/>
      <c r="C725" s="462"/>
      <c r="D725" s="462"/>
      <c r="E725" s="462"/>
      <c r="F725" s="462"/>
      <c r="G725" s="462"/>
      <c r="H725" s="462"/>
    </row>
    <row r="726" spans="1:8" ht="15" customHeight="1" x14ac:dyDescent="0.25">
      <c r="A726" s="462"/>
      <c r="B726" s="462"/>
      <c r="C726" s="462"/>
      <c r="D726" s="462"/>
      <c r="E726" s="462"/>
      <c r="F726" s="462"/>
      <c r="G726" s="462"/>
      <c r="H726" s="462"/>
    </row>
    <row r="727" spans="1:8" ht="15" customHeight="1" x14ac:dyDescent="0.25">
      <c r="A727" s="462"/>
      <c r="B727" s="462"/>
      <c r="C727" s="462"/>
      <c r="D727" s="462"/>
      <c r="E727" s="462"/>
      <c r="F727" s="462"/>
      <c r="G727" s="462"/>
      <c r="H727" s="462"/>
    </row>
    <row r="728" spans="1:8" ht="15" customHeight="1" x14ac:dyDescent="0.25">
      <c r="A728" s="462"/>
      <c r="B728" s="462"/>
      <c r="C728" s="462"/>
      <c r="D728" s="462"/>
      <c r="E728" s="462"/>
      <c r="F728" s="462"/>
      <c r="G728" s="462"/>
      <c r="H728" s="462"/>
    </row>
    <row r="729" spans="1:8" ht="15" customHeight="1" x14ac:dyDescent="0.25">
      <c r="A729" s="462"/>
      <c r="B729" s="462"/>
      <c r="C729" s="462"/>
      <c r="D729" s="462"/>
      <c r="E729" s="462"/>
      <c r="F729" s="462"/>
      <c r="G729" s="462"/>
      <c r="H729" s="462"/>
    </row>
    <row r="730" spans="1:8" ht="15" customHeight="1" x14ac:dyDescent="0.25">
      <c r="A730" s="462"/>
      <c r="B730" s="462"/>
      <c r="C730" s="462"/>
      <c r="D730" s="462"/>
      <c r="E730" s="462"/>
      <c r="F730" s="462"/>
      <c r="G730" s="462"/>
      <c r="H730" s="462"/>
    </row>
    <row r="731" spans="1:8" ht="15" customHeight="1" x14ac:dyDescent="0.25">
      <c r="A731" s="462"/>
      <c r="B731" s="462"/>
      <c r="C731" s="462"/>
      <c r="D731" s="462"/>
      <c r="E731" s="462"/>
      <c r="F731" s="462"/>
      <c r="G731" s="462"/>
      <c r="H731" s="462"/>
    </row>
    <row r="732" spans="1:8" ht="15" customHeight="1" x14ac:dyDescent="0.25">
      <c r="A732" s="462"/>
      <c r="B732" s="462"/>
      <c r="C732" s="462"/>
      <c r="D732" s="462"/>
      <c r="E732" s="462"/>
      <c r="F732" s="462"/>
      <c r="G732" s="462"/>
      <c r="H732" s="462"/>
    </row>
    <row r="733" spans="1:8" ht="15" customHeight="1" x14ac:dyDescent="0.25">
      <c r="A733" s="462"/>
      <c r="B733" s="462"/>
      <c r="C733" s="462"/>
      <c r="D733" s="462"/>
      <c r="E733" s="462"/>
      <c r="F733" s="462"/>
      <c r="G733" s="462"/>
      <c r="H733" s="462"/>
    </row>
    <row r="734" spans="1:8" ht="15" customHeight="1" x14ac:dyDescent="0.25">
      <c r="A734" s="462"/>
      <c r="B734" s="462"/>
      <c r="C734" s="462"/>
      <c r="D734" s="462"/>
      <c r="E734" s="462"/>
      <c r="F734" s="462"/>
      <c r="G734" s="462"/>
      <c r="H734" s="462"/>
    </row>
    <row r="735" spans="1:8" ht="15" customHeight="1" x14ac:dyDescent="0.25">
      <c r="A735" s="462"/>
      <c r="B735" s="462"/>
      <c r="C735" s="462"/>
      <c r="D735" s="462"/>
      <c r="E735" s="462"/>
      <c r="F735" s="462"/>
      <c r="G735" s="462"/>
      <c r="H735" s="462"/>
    </row>
    <row r="736" spans="1:8" ht="15" customHeight="1" x14ac:dyDescent="0.25">
      <c r="A736" s="462"/>
      <c r="B736" s="462"/>
      <c r="C736" s="462"/>
      <c r="D736" s="462"/>
      <c r="E736" s="462"/>
      <c r="F736" s="462"/>
      <c r="G736" s="462"/>
      <c r="H736" s="462"/>
    </row>
    <row r="737" spans="1:8" ht="15" customHeight="1" x14ac:dyDescent="0.25">
      <c r="A737" s="462"/>
      <c r="B737" s="462"/>
      <c r="C737" s="462"/>
      <c r="D737" s="462"/>
      <c r="E737" s="462"/>
      <c r="F737" s="462"/>
      <c r="G737" s="462"/>
      <c r="H737" s="462"/>
    </row>
    <row r="738" spans="1:8" ht="15" customHeight="1" x14ac:dyDescent="0.25">
      <c r="A738" s="462"/>
      <c r="B738" s="462"/>
      <c r="C738" s="462"/>
      <c r="D738" s="462"/>
      <c r="E738" s="462"/>
      <c r="F738" s="462"/>
      <c r="G738" s="462"/>
      <c r="H738" s="462"/>
    </row>
    <row r="739" spans="1:8" ht="15" customHeight="1" x14ac:dyDescent="0.25">
      <c r="A739" s="462"/>
      <c r="B739" s="462"/>
      <c r="C739" s="462"/>
      <c r="D739" s="462"/>
      <c r="E739" s="462"/>
      <c r="F739" s="462"/>
      <c r="G739" s="462"/>
      <c r="H739" s="462"/>
    </row>
    <row r="740" spans="1:8" ht="15" customHeight="1" x14ac:dyDescent="0.25">
      <c r="A740" s="462"/>
      <c r="B740" s="462"/>
      <c r="C740" s="462"/>
      <c r="D740" s="462"/>
      <c r="E740" s="462"/>
      <c r="F740" s="462"/>
      <c r="G740" s="462"/>
      <c r="H740" s="462"/>
    </row>
    <row r="741" spans="1:8" ht="15" customHeight="1" x14ac:dyDescent="0.25">
      <c r="A741" s="462"/>
      <c r="B741" s="462"/>
      <c r="C741" s="462"/>
      <c r="D741" s="462"/>
      <c r="E741" s="462"/>
      <c r="F741" s="462"/>
      <c r="G741" s="462"/>
      <c r="H741" s="462"/>
    </row>
    <row r="742" spans="1:8" ht="15" customHeight="1" x14ac:dyDescent="0.25">
      <c r="A742" s="462"/>
      <c r="B742" s="462"/>
      <c r="C742" s="462"/>
      <c r="D742" s="462"/>
      <c r="E742" s="462"/>
      <c r="F742" s="462"/>
      <c r="G742" s="462"/>
      <c r="H742" s="462"/>
    </row>
    <row r="743" spans="1:8" ht="15" customHeight="1" x14ac:dyDescent="0.25">
      <c r="A743" s="462"/>
      <c r="B743" s="462"/>
      <c r="C743" s="462"/>
      <c r="D743" s="462"/>
      <c r="E743" s="462"/>
      <c r="F743" s="462"/>
      <c r="G743" s="462"/>
      <c r="H743" s="462"/>
    </row>
    <row r="744" spans="1:8" ht="15" customHeight="1" x14ac:dyDescent="0.25">
      <c r="A744" s="462"/>
      <c r="B744" s="462"/>
      <c r="C744" s="462"/>
      <c r="D744" s="462"/>
      <c r="E744" s="462"/>
      <c r="F744" s="462"/>
      <c r="G744" s="462"/>
      <c r="H744" s="462"/>
    </row>
    <row r="745" spans="1:8" ht="15" customHeight="1" x14ac:dyDescent="0.25">
      <c r="A745" s="462"/>
      <c r="B745" s="462"/>
      <c r="C745" s="462"/>
      <c r="D745" s="462"/>
      <c r="E745" s="462"/>
      <c r="F745" s="462"/>
      <c r="G745" s="462"/>
      <c r="H745" s="462"/>
    </row>
    <row r="746" spans="1:8" ht="15" customHeight="1" x14ac:dyDescent="0.25">
      <c r="A746" s="462"/>
      <c r="B746" s="462"/>
      <c r="C746" s="462"/>
      <c r="D746" s="462"/>
      <c r="E746" s="462"/>
      <c r="F746" s="462"/>
      <c r="G746" s="462"/>
      <c r="H746" s="462"/>
    </row>
    <row r="747" spans="1:8" ht="15" customHeight="1" x14ac:dyDescent="0.25">
      <c r="A747" s="462"/>
      <c r="B747" s="462"/>
      <c r="C747" s="462"/>
      <c r="D747" s="462"/>
      <c r="E747" s="462"/>
      <c r="F747" s="462"/>
      <c r="G747" s="462"/>
      <c r="H747" s="462"/>
    </row>
    <row r="748" spans="1:8" ht="15" customHeight="1" x14ac:dyDescent="0.25">
      <c r="A748" s="462"/>
      <c r="B748" s="462"/>
      <c r="C748" s="462"/>
      <c r="D748" s="462"/>
      <c r="E748" s="462"/>
      <c r="F748" s="462"/>
      <c r="G748" s="462"/>
      <c r="H748" s="462"/>
    </row>
    <row r="749" spans="1:8" ht="15" customHeight="1" x14ac:dyDescent="0.25">
      <c r="A749" s="462"/>
      <c r="B749" s="462"/>
      <c r="C749" s="462"/>
      <c r="D749" s="462"/>
      <c r="E749" s="462"/>
      <c r="F749" s="462"/>
      <c r="G749" s="462"/>
      <c r="H749" s="462"/>
    </row>
    <row r="750" spans="1:8" ht="15" customHeight="1" x14ac:dyDescent="0.25">
      <c r="A750" s="462"/>
      <c r="B750" s="462"/>
      <c r="C750" s="462"/>
      <c r="D750" s="462"/>
      <c r="E750" s="462"/>
      <c r="F750" s="462"/>
      <c r="G750" s="462"/>
      <c r="H750" s="462"/>
    </row>
    <row r="751" spans="1:8" ht="15" customHeight="1" x14ac:dyDescent="0.25">
      <c r="A751" s="462"/>
      <c r="B751" s="462"/>
      <c r="C751" s="462"/>
      <c r="D751" s="462"/>
      <c r="E751" s="462"/>
      <c r="F751" s="462"/>
      <c r="G751" s="462"/>
      <c r="H751" s="462"/>
    </row>
    <row r="752" spans="1:8" ht="15" customHeight="1" x14ac:dyDescent="0.25">
      <c r="A752" s="462"/>
      <c r="B752" s="462"/>
      <c r="C752" s="462"/>
      <c r="D752" s="462"/>
      <c r="E752" s="462"/>
      <c r="F752" s="462"/>
      <c r="G752" s="462"/>
      <c r="H752" s="462"/>
    </row>
    <row r="753" spans="1:8" ht="15" customHeight="1" x14ac:dyDescent="0.25">
      <c r="A753" s="462"/>
      <c r="B753" s="462"/>
      <c r="C753" s="462"/>
      <c r="D753" s="462"/>
      <c r="E753" s="462"/>
      <c r="F753" s="462"/>
      <c r="G753" s="462"/>
      <c r="H753" s="462"/>
    </row>
    <row r="754" spans="1:8" ht="15" customHeight="1" x14ac:dyDescent="0.25">
      <c r="A754" s="462"/>
      <c r="B754" s="462"/>
      <c r="C754" s="462"/>
      <c r="D754" s="462"/>
      <c r="E754" s="462"/>
      <c r="F754" s="462"/>
      <c r="G754" s="462"/>
      <c r="H754" s="462"/>
    </row>
    <row r="755" spans="1:8" ht="15" customHeight="1" x14ac:dyDescent="0.25">
      <c r="A755" s="462"/>
      <c r="B755" s="462"/>
      <c r="C755" s="462"/>
      <c r="D755" s="462"/>
      <c r="E755" s="462"/>
      <c r="F755" s="462"/>
      <c r="G755" s="462"/>
      <c r="H755" s="462"/>
    </row>
    <row r="756" spans="1:8" ht="15" customHeight="1" x14ac:dyDescent="0.25">
      <c r="A756" s="462"/>
      <c r="B756" s="462"/>
      <c r="C756" s="462"/>
      <c r="D756" s="462"/>
      <c r="E756" s="462"/>
      <c r="F756" s="462"/>
      <c r="G756" s="462"/>
      <c r="H756" s="462"/>
    </row>
    <row r="757" spans="1:8" x14ac:dyDescent="0.25">
      <c r="A757" s="931" t="s">
        <v>356</v>
      </c>
      <c r="B757" s="931"/>
      <c r="C757" s="931"/>
      <c r="D757" s="931"/>
      <c r="E757" s="931"/>
      <c r="F757" s="931"/>
      <c r="G757" s="931"/>
      <c r="H757" s="931"/>
    </row>
    <row r="758" spans="1:8" x14ac:dyDescent="0.25">
      <c r="A758" s="932"/>
      <c r="B758" s="932"/>
      <c r="C758" s="932"/>
      <c r="D758" s="932"/>
      <c r="E758" s="932"/>
      <c r="F758" s="932"/>
      <c r="G758" s="932"/>
      <c r="H758" s="932"/>
    </row>
  </sheetData>
  <mergeCells count="69">
    <mergeCell ref="A38:H38"/>
    <mergeCell ref="A54:H54"/>
    <mergeCell ref="A67:H67"/>
    <mergeCell ref="A68:H68"/>
    <mergeCell ref="A61:H61"/>
    <mergeCell ref="A62:H62"/>
    <mergeCell ref="A63:H63"/>
    <mergeCell ref="A64:H64"/>
    <mergeCell ref="A39:H39"/>
    <mergeCell ref="A41:H41"/>
    <mergeCell ref="A49:H49"/>
    <mergeCell ref="A50:H50"/>
    <mergeCell ref="A40:H40"/>
    <mergeCell ref="A43:H43"/>
    <mergeCell ref="A44:H44"/>
    <mergeCell ref="A695:H695"/>
    <mergeCell ref="A696:H696"/>
    <mergeCell ref="A757:H757"/>
    <mergeCell ref="A758:H758"/>
    <mergeCell ref="A391:H391"/>
    <mergeCell ref="A392:H392"/>
    <mergeCell ref="A357:H390"/>
    <mergeCell ref="A93:H93"/>
    <mergeCell ref="A94:H94"/>
    <mergeCell ref="A95:H95"/>
    <mergeCell ref="A97:H97"/>
    <mergeCell ref="A98:H98"/>
    <mergeCell ref="A99:H99"/>
    <mergeCell ref="A100:H100"/>
    <mergeCell ref="A101:H101"/>
    <mergeCell ref="A102:H102"/>
    <mergeCell ref="A356:H356"/>
    <mergeCell ref="A96:H96"/>
    <mergeCell ref="A328:H328"/>
    <mergeCell ref="A289:H289"/>
    <mergeCell ref="A290:H323"/>
    <mergeCell ref="A235:H235"/>
    <mergeCell ref="A4:H4"/>
    <mergeCell ref="A1:H1"/>
    <mergeCell ref="A2:H2"/>
    <mergeCell ref="A3:H3"/>
    <mergeCell ref="D69:E69"/>
    <mergeCell ref="A48:H48"/>
    <mergeCell ref="A51:H51"/>
    <mergeCell ref="A45:H45"/>
    <mergeCell ref="A46:H46"/>
    <mergeCell ref="A47:H47"/>
    <mergeCell ref="A6:H6"/>
    <mergeCell ref="A42:H42"/>
    <mergeCell ref="A35:H35"/>
    <mergeCell ref="A36:H36"/>
    <mergeCell ref="A37:H37"/>
    <mergeCell ref="A53:H53"/>
    <mergeCell ref="A72:H72"/>
    <mergeCell ref="A52:H52"/>
    <mergeCell ref="A56:H56"/>
    <mergeCell ref="A57:H57"/>
    <mergeCell ref="A92:H92"/>
    <mergeCell ref="A73:H73"/>
    <mergeCell ref="A74:H74"/>
    <mergeCell ref="A75:H75"/>
    <mergeCell ref="A76:H76"/>
    <mergeCell ref="F69:G69"/>
    <mergeCell ref="A60:H60"/>
    <mergeCell ref="A59:H59"/>
    <mergeCell ref="A58:H58"/>
    <mergeCell ref="A55:H55"/>
    <mergeCell ref="A65:H65"/>
    <mergeCell ref="A66:H66"/>
  </mergeCells>
  <printOptions gridLines="1"/>
  <pageMargins left="0.25" right="0.25" top="0.75" bottom="0.75" header="0.3" footer="0.3"/>
  <pageSetup scale="9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820CF-3B8A-42C7-9DF8-9A048552F9D9}">
  <sheetPr codeName="Sheet2">
    <tabColor rgb="FFFF00FF"/>
    <pageSetUpPr fitToPage="1"/>
  </sheetPr>
  <dimension ref="A1:R227"/>
  <sheetViews>
    <sheetView topLeftCell="A66" zoomScale="70" zoomScaleNormal="70" workbookViewId="0">
      <selection activeCell="C108" sqref="C108"/>
    </sheetView>
  </sheetViews>
  <sheetFormatPr defaultRowHeight="15" x14ac:dyDescent="0.25"/>
  <cols>
    <col min="1" max="1" width="60.140625" customWidth="1"/>
    <col min="2" max="2" width="24.42578125" bestFit="1" customWidth="1"/>
    <col min="3" max="3" width="14.28515625" bestFit="1" customWidth="1"/>
    <col min="4" max="4" width="11.85546875" bestFit="1" customWidth="1"/>
    <col min="5" max="5" width="17.28515625" bestFit="1" customWidth="1"/>
    <col min="6" max="6" width="19.5703125" customWidth="1"/>
    <col min="7" max="7" width="25.140625" customWidth="1"/>
    <col min="8" max="10" width="14.5703125" customWidth="1"/>
    <col min="11" max="11" width="19.85546875" customWidth="1"/>
    <col min="12" max="12" width="23.7109375" style="1" customWidth="1"/>
    <col min="13" max="13" width="87.28515625" style="1" customWidth="1"/>
    <col min="14" max="15" width="9.42578125" customWidth="1"/>
    <col min="16" max="16" width="9" customWidth="1"/>
    <col min="17" max="17" width="42.28515625" style="248" customWidth="1"/>
    <col min="18" max="18" width="24.85546875" style="1" customWidth="1"/>
    <col min="19" max="19" width="15.5703125" bestFit="1" customWidth="1"/>
    <col min="20" max="21" width="13.28515625" bestFit="1" customWidth="1"/>
    <col min="22" max="22" width="19.28515625" bestFit="1" customWidth="1"/>
    <col min="23" max="23" width="15.7109375" bestFit="1" customWidth="1"/>
    <col min="24" max="28" width="14.7109375" bestFit="1" customWidth="1"/>
  </cols>
  <sheetData>
    <row r="1" spans="1:18" x14ac:dyDescent="0.25">
      <c r="A1" s="671" t="str">
        <f>Summary!A1</f>
        <v>Montana Resources, LLC</v>
      </c>
      <c r="B1" s="240"/>
      <c r="C1" s="240"/>
      <c r="D1" s="240"/>
      <c r="E1" s="240"/>
      <c r="F1" s="240"/>
      <c r="G1" s="240"/>
      <c r="H1" s="240"/>
      <c r="I1" s="240"/>
      <c r="J1" s="240"/>
      <c r="K1" s="240"/>
      <c r="L1" s="240"/>
      <c r="M1" s="240"/>
      <c r="N1" s="334"/>
      <c r="Q1"/>
      <c r="R1"/>
    </row>
    <row r="2" spans="1:18" x14ac:dyDescent="0.25">
      <c r="A2" s="672" t="str">
        <f>Summary!A2</f>
        <v>Operating Permit #00030</v>
      </c>
      <c r="B2" s="240"/>
      <c r="C2" s="240"/>
      <c r="D2" s="240"/>
      <c r="E2" s="240"/>
      <c r="F2" s="240"/>
      <c r="G2" s="240"/>
      <c r="H2" s="240"/>
      <c r="I2" s="240"/>
      <c r="J2" s="240"/>
      <c r="M2" s="240"/>
      <c r="N2" s="334"/>
      <c r="Q2"/>
      <c r="R2"/>
    </row>
    <row r="3" spans="1:18" x14ac:dyDescent="0.25">
      <c r="A3" s="672" t="str">
        <f>Summary!A3</f>
        <v>Final Comprehensive 5-Year Bond Review</v>
      </c>
      <c r="B3" s="240"/>
      <c r="C3" s="240"/>
      <c r="D3" s="240"/>
      <c r="E3" s="240"/>
      <c r="F3" s="240"/>
      <c r="G3" s="240"/>
      <c r="H3" s="240"/>
      <c r="I3" s="240"/>
      <c r="J3" s="240"/>
      <c r="K3" s="240"/>
      <c r="L3" s="240"/>
      <c r="M3" s="240"/>
      <c r="N3" s="334"/>
      <c r="Q3"/>
      <c r="R3"/>
    </row>
    <row r="4" spans="1:18" x14ac:dyDescent="0.25">
      <c r="A4" s="846">
        <f>Summary!A4</f>
        <v>46146</v>
      </c>
      <c r="B4" s="240"/>
      <c r="C4" s="240"/>
      <c r="D4" s="240"/>
      <c r="E4" s="240"/>
      <c r="F4" s="240"/>
      <c r="G4" s="240"/>
      <c r="H4" s="240"/>
      <c r="I4" s="240"/>
      <c r="J4" s="240"/>
      <c r="L4" s="240"/>
      <c r="M4" s="240"/>
      <c r="N4" s="334"/>
      <c r="Q4"/>
      <c r="R4"/>
    </row>
    <row r="5" spans="1:18" ht="15.75" thickBot="1" x14ac:dyDescent="0.3">
      <c r="A5" s="673"/>
      <c r="B5" s="240"/>
      <c r="C5" s="240"/>
      <c r="D5" s="240"/>
      <c r="E5" s="240"/>
      <c r="F5" s="240"/>
      <c r="G5" s="240"/>
      <c r="H5" s="240"/>
      <c r="I5" s="240"/>
      <c r="J5" s="240"/>
      <c r="K5" s="240"/>
      <c r="Q5"/>
      <c r="R5"/>
    </row>
    <row r="6" spans="1:18" x14ac:dyDescent="0.25">
      <c r="A6" s="934" t="s">
        <v>2043</v>
      </c>
      <c r="B6" s="935"/>
      <c r="C6" s="935"/>
      <c r="D6" s="935"/>
      <c r="E6" s="936"/>
      <c r="F6" s="240"/>
      <c r="G6" s="240"/>
      <c r="H6" s="240"/>
      <c r="I6" s="334"/>
      <c r="L6"/>
      <c r="M6"/>
      <c r="Q6"/>
      <c r="R6"/>
    </row>
    <row r="7" spans="1:18" ht="19.5" thickBot="1" x14ac:dyDescent="0.3">
      <c r="A7" s="937" t="s">
        <v>1989</v>
      </c>
      <c r="B7" s="938"/>
      <c r="C7" s="938"/>
      <c r="D7" s="938"/>
      <c r="E7" s="939"/>
      <c r="F7" s="240"/>
      <c r="G7" s="240"/>
      <c r="H7" s="240"/>
      <c r="L7"/>
      <c r="M7"/>
      <c r="Q7"/>
      <c r="R7"/>
    </row>
    <row r="8" spans="1:18" s="3" customFormat="1" ht="60.75" thickBot="1" x14ac:dyDescent="0.3">
      <c r="A8" s="855" t="s">
        <v>266</v>
      </c>
      <c r="B8" s="856" t="s">
        <v>1990</v>
      </c>
      <c r="C8" s="856" t="s">
        <v>1991</v>
      </c>
      <c r="D8" s="856" t="s">
        <v>1992</v>
      </c>
      <c r="E8" s="857" t="s">
        <v>267</v>
      </c>
      <c r="F8" s="745" t="s">
        <v>2168</v>
      </c>
      <c r="G8" s="858" t="s">
        <v>2199</v>
      </c>
      <c r="H8" s="674" t="s">
        <v>2005</v>
      </c>
      <c r="I8" s="188"/>
      <c r="J8" s="188"/>
    </row>
    <row r="9" spans="1:18" x14ac:dyDescent="0.25">
      <c r="A9" s="708" t="s">
        <v>268</v>
      </c>
      <c r="B9" s="730">
        <v>18.986579842665101</v>
      </c>
      <c r="C9" s="701"/>
      <c r="D9" s="701"/>
      <c r="E9" s="717">
        <v>18.986579842665101</v>
      </c>
      <c r="F9" s="735"/>
      <c r="G9" s="859">
        <f>B9</f>
        <v>18.986579842665101</v>
      </c>
      <c r="H9" s="670"/>
      <c r="I9" s="665"/>
      <c r="J9" s="232"/>
      <c r="L9"/>
      <c r="M9"/>
      <c r="Q9"/>
      <c r="R9"/>
    </row>
    <row r="10" spans="1:18" x14ac:dyDescent="0.25">
      <c r="A10" s="708" t="s">
        <v>1993</v>
      </c>
      <c r="B10" s="701"/>
      <c r="C10" s="701"/>
      <c r="D10" s="701">
        <v>683.87057890459334</v>
      </c>
      <c r="E10" s="717">
        <v>683.87057890459334</v>
      </c>
      <c r="F10" s="736"/>
      <c r="G10" s="860" t="s">
        <v>661</v>
      </c>
      <c r="H10" s="459" t="s">
        <v>2118</v>
      </c>
      <c r="I10" s="665"/>
      <c r="J10" s="232"/>
      <c r="L10"/>
      <c r="M10"/>
      <c r="Q10"/>
      <c r="R10"/>
    </row>
    <row r="11" spans="1:18" x14ac:dyDescent="0.25">
      <c r="A11" s="83"/>
      <c r="F11" s="737"/>
      <c r="G11" s="860" t="s">
        <v>661</v>
      </c>
      <c r="H11" s="670" t="s">
        <v>2022</v>
      </c>
      <c r="I11" s="665"/>
      <c r="J11" s="232"/>
      <c r="L11"/>
      <c r="M11"/>
      <c r="Q11"/>
      <c r="R11"/>
    </row>
    <row r="12" spans="1:18" x14ac:dyDescent="0.25">
      <c r="A12" s="708" t="s">
        <v>1994</v>
      </c>
      <c r="B12" s="701"/>
      <c r="C12" s="701"/>
      <c r="D12" s="701">
        <v>79.237747681175506</v>
      </c>
      <c r="E12" s="717">
        <v>79.237747681175506</v>
      </c>
      <c r="F12" s="736"/>
      <c r="G12" s="860" t="s">
        <v>661</v>
      </c>
      <c r="H12" s="670" t="s">
        <v>2120</v>
      </c>
      <c r="I12" s="666"/>
      <c r="J12" s="232"/>
      <c r="L12"/>
      <c r="M12"/>
      <c r="Q12"/>
      <c r="R12"/>
    </row>
    <row r="13" spans="1:18" x14ac:dyDescent="0.25">
      <c r="A13" s="708" t="s">
        <v>2046</v>
      </c>
      <c r="B13" s="701"/>
      <c r="C13" s="701"/>
      <c r="D13" s="701">
        <v>15.867214080371738</v>
      </c>
      <c r="E13" s="717">
        <v>15.867214080371738</v>
      </c>
      <c r="F13" s="736"/>
      <c r="G13" s="860" t="s">
        <v>661</v>
      </c>
      <c r="H13" s="670" t="s">
        <v>2120</v>
      </c>
      <c r="I13" s="666"/>
      <c r="J13" s="232"/>
      <c r="L13"/>
      <c r="M13"/>
      <c r="Q13"/>
      <c r="R13"/>
    </row>
    <row r="14" spans="1:18" x14ac:dyDescent="0.25">
      <c r="A14" s="708" t="s">
        <v>269</v>
      </c>
      <c r="B14" s="701">
        <v>413.19801854573558</v>
      </c>
      <c r="C14" s="701">
        <v>27.987654001151633</v>
      </c>
      <c r="D14" s="701"/>
      <c r="E14" s="717">
        <v>441.18567254688719</v>
      </c>
      <c r="F14" s="736"/>
      <c r="G14" s="860" t="s">
        <v>661</v>
      </c>
      <c r="H14" s="670" t="s">
        <v>2117</v>
      </c>
      <c r="I14" s="666"/>
      <c r="J14" s="232"/>
      <c r="L14"/>
      <c r="M14"/>
      <c r="Q14"/>
      <c r="R14"/>
    </row>
    <row r="15" spans="1:18" x14ac:dyDescent="0.25">
      <c r="A15" s="708" t="s">
        <v>1995</v>
      </c>
      <c r="B15" s="730">
        <v>210.48498806471477</v>
      </c>
      <c r="C15" s="701">
        <v>24.565754506100639</v>
      </c>
      <c r="D15" s="701"/>
      <c r="E15" s="717">
        <v>235.0507425708154</v>
      </c>
      <c r="F15" s="736"/>
      <c r="G15" s="861">
        <f>B15</f>
        <v>210.48498806471477</v>
      </c>
      <c r="H15" s="696"/>
      <c r="I15" s="666"/>
      <c r="J15" s="232"/>
      <c r="L15"/>
      <c r="M15"/>
      <c r="Q15"/>
      <c r="R15"/>
    </row>
    <row r="16" spans="1:18" x14ac:dyDescent="0.25">
      <c r="A16" s="708" t="s">
        <v>2047</v>
      </c>
      <c r="B16" s="701"/>
      <c r="C16" s="701"/>
      <c r="D16" s="701">
        <v>249.20127397196271</v>
      </c>
      <c r="E16" s="717">
        <v>249.20127397196271</v>
      </c>
      <c r="F16" s="736"/>
      <c r="G16" s="860" t="s">
        <v>661</v>
      </c>
      <c r="H16" s="459" t="s">
        <v>2118</v>
      </c>
      <c r="I16" s="666"/>
      <c r="J16" s="232"/>
      <c r="L16"/>
      <c r="M16"/>
      <c r="Q16"/>
      <c r="R16"/>
    </row>
    <row r="17" spans="1:18" x14ac:dyDescent="0.25">
      <c r="A17" s="708" t="s">
        <v>2048</v>
      </c>
      <c r="B17" s="730">
        <v>58.646649350903132</v>
      </c>
      <c r="C17" s="701">
        <v>57.146423395478678</v>
      </c>
      <c r="D17" s="701"/>
      <c r="E17" s="717">
        <v>115.79307274638181</v>
      </c>
      <c r="F17" s="736"/>
      <c r="G17" s="861">
        <f>B17</f>
        <v>58.646649350903132</v>
      </c>
      <c r="H17" s="665" t="s">
        <v>2134</v>
      </c>
      <c r="I17" s="665"/>
      <c r="J17" s="232"/>
      <c r="L17"/>
      <c r="M17"/>
      <c r="Q17"/>
      <c r="R17"/>
    </row>
    <row r="18" spans="1:18" x14ac:dyDescent="0.25">
      <c r="A18" s="708" t="s">
        <v>2049</v>
      </c>
      <c r="B18" s="701">
        <v>26.475193164446118</v>
      </c>
      <c r="C18" s="701">
        <v>16.832388677814116</v>
      </c>
      <c r="D18" s="701"/>
      <c r="E18" s="717">
        <v>43.307581842260234</v>
      </c>
      <c r="F18" s="736"/>
      <c r="G18" s="860" t="s">
        <v>661</v>
      </c>
      <c r="H18" s="670" t="s">
        <v>2117</v>
      </c>
      <c r="I18" s="665"/>
      <c r="J18" s="232"/>
      <c r="L18"/>
      <c r="M18"/>
      <c r="Q18"/>
      <c r="R18"/>
    </row>
    <row r="19" spans="1:18" x14ac:dyDescent="0.25">
      <c r="A19" s="708" t="s">
        <v>2050</v>
      </c>
      <c r="B19" s="701">
        <v>0.46488424216949298</v>
      </c>
      <c r="C19" s="701"/>
      <c r="D19" s="701"/>
      <c r="E19" s="717">
        <v>0.46488424216949298</v>
      </c>
      <c r="F19" s="736"/>
      <c r="G19" s="860" t="s">
        <v>661</v>
      </c>
      <c r="H19" s="670" t="s">
        <v>2112</v>
      </c>
      <c r="I19" s="665"/>
      <c r="J19" s="232"/>
      <c r="L19"/>
      <c r="M19"/>
      <c r="Q19"/>
      <c r="R19"/>
    </row>
    <row r="20" spans="1:18" x14ac:dyDescent="0.25">
      <c r="A20" s="708" t="s">
        <v>1998</v>
      </c>
      <c r="B20" s="701"/>
      <c r="C20" s="701"/>
      <c r="D20" s="701">
        <v>8.910303087748682</v>
      </c>
      <c r="E20" s="717">
        <v>8.910303087748682</v>
      </c>
      <c r="F20" s="736"/>
      <c r="G20" s="860" t="s">
        <v>661</v>
      </c>
      <c r="H20" s="459" t="s">
        <v>2118</v>
      </c>
      <c r="I20" s="666"/>
      <c r="J20" s="232"/>
      <c r="L20"/>
      <c r="M20"/>
      <c r="Q20"/>
      <c r="R20"/>
    </row>
    <row r="21" spans="1:18" x14ac:dyDescent="0.25">
      <c r="A21" s="708" t="s">
        <v>1997</v>
      </c>
      <c r="B21" s="701"/>
      <c r="C21" s="701"/>
      <c r="D21" s="701">
        <v>16.939120893544398</v>
      </c>
      <c r="E21" s="717">
        <v>16.939120893544398</v>
      </c>
      <c r="F21" s="736"/>
      <c r="G21" s="860" t="s">
        <v>661</v>
      </c>
      <c r="H21" s="459" t="s">
        <v>2119</v>
      </c>
      <c r="I21" s="666"/>
      <c r="J21" s="232"/>
      <c r="L21"/>
      <c r="M21"/>
      <c r="Q21"/>
      <c r="R21"/>
    </row>
    <row r="22" spans="1:18" x14ac:dyDescent="0.25">
      <c r="A22" s="708" t="s">
        <v>270</v>
      </c>
      <c r="B22" s="730">
        <v>7.5139108462934416</v>
      </c>
      <c r="C22" s="701">
        <v>119.04817756144818</v>
      </c>
      <c r="D22" s="701"/>
      <c r="E22" s="717">
        <v>126.56208840774163</v>
      </c>
      <c r="F22" s="736"/>
      <c r="G22" s="861">
        <f>B22</f>
        <v>7.5139108462934416</v>
      </c>
      <c r="H22" s="696"/>
      <c r="I22" s="666"/>
      <c r="J22" s="232"/>
      <c r="L22"/>
      <c r="M22"/>
      <c r="Q22"/>
      <c r="R22"/>
    </row>
    <row r="23" spans="1:18" x14ac:dyDescent="0.25">
      <c r="A23" s="708" t="s">
        <v>271</v>
      </c>
      <c r="B23" s="730">
        <v>2.721867762395811</v>
      </c>
      <c r="C23" s="701">
        <v>0.70079148704714633</v>
      </c>
      <c r="D23" s="701"/>
      <c r="E23" s="717">
        <v>3.4226592494429573</v>
      </c>
      <c r="F23" s="736"/>
      <c r="G23" s="861">
        <f>B23</f>
        <v>2.721867762395811</v>
      </c>
      <c r="H23" s="678"/>
      <c r="I23" s="666"/>
      <c r="J23" s="232"/>
      <c r="L23"/>
      <c r="M23"/>
      <c r="Q23"/>
      <c r="R23"/>
    </row>
    <row r="24" spans="1:18" x14ac:dyDescent="0.25">
      <c r="A24" s="708" t="s">
        <v>272</v>
      </c>
      <c r="B24" s="730">
        <v>159.12614090872222</v>
      </c>
      <c r="C24" s="701">
        <v>169.94472962924061</v>
      </c>
      <c r="D24" s="701"/>
      <c r="E24" s="717">
        <v>329.07087053796283</v>
      </c>
      <c r="F24" s="738">
        <v>1.0669999999999999</v>
      </c>
      <c r="G24" s="861">
        <f>(B24+B25)*F24</f>
        <v>175.01652936479195</v>
      </c>
      <c r="H24" s="459" t="s">
        <v>2113</v>
      </c>
      <c r="I24" s="665"/>
      <c r="J24" s="232"/>
      <c r="L24"/>
      <c r="M24"/>
      <c r="Q24"/>
      <c r="R24"/>
    </row>
    <row r="25" spans="1:18" x14ac:dyDescent="0.25">
      <c r="A25" s="708" t="s">
        <v>2051</v>
      </c>
      <c r="B25" s="730">
        <v>4.9005970151689997</v>
      </c>
      <c r="C25" s="701">
        <v>9.569890737343794</v>
      </c>
      <c r="D25" s="701"/>
      <c r="E25" s="717">
        <v>14.470487752512794</v>
      </c>
      <c r="F25" s="736"/>
      <c r="G25" s="860" t="s">
        <v>2131</v>
      </c>
      <c r="H25" s="459" t="s">
        <v>2114</v>
      </c>
      <c r="I25" s="665"/>
      <c r="J25" s="232"/>
      <c r="L25"/>
      <c r="M25"/>
      <c r="Q25"/>
      <c r="R25"/>
    </row>
    <row r="26" spans="1:18" x14ac:dyDescent="0.25">
      <c r="A26" s="708" t="s">
        <v>2052</v>
      </c>
      <c r="B26" s="730">
        <v>2.9742071658532181</v>
      </c>
      <c r="C26" s="701">
        <v>22.194547286078436</v>
      </c>
      <c r="D26" s="701"/>
      <c r="E26" s="717">
        <v>25.168754451931655</v>
      </c>
      <c r="F26" s="738">
        <v>1.0669999999999999</v>
      </c>
      <c r="G26" s="861">
        <f>B26*F26</f>
        <v>3.1734790459653834</v>
      </c>
      <c r="H26" s="459" t="s">
        <v>2122</v>
      </c>
      <c r="I26" s="666"/>
      <c r="J26" s="232"/>
      <c r="L26"/>
      <c r="M26"/>
      <c r="Q26"/>
      <c r="R26"/>
    </row>
    <row r="27" spans="1:18" x14ac:dyDescent="0.25">
      <c r="A27" s="708" t="s">
        <v>273</v>
      </c>
      <c r="B27" s="701"/>
      <c r="C27" s="701">
        <v>1.81586973469244</v>
      </c>
      <c r="D27" s="701"/>
      <c r="E27" s="717">
        <v>1.81586973469244</v>
      </c>
      <c r="F27" s="736"/>
      <c r="G27" s="860" t="s">
        <v>2132</v>
      </c>
      <c r="H27" s="670" t="s">
        <v>2121</v>
      </c>
      <c r="I27" s="666"/>
      <c r="J27" s="232"/>
      <c r="L27"/>
      <c r="M27"/>
      <c r="Q27"/>
      <c r="R27"/>
    </row>
    <row r="28" spans="1:18" x14ac:dyDescent="0.25">
      <c r="A28" s="708" t="s">
        <v>2000</v>
      </c>
      <c r="B28" s="730">
        <v>0.784358620664519</v>
      </c>
      <c r="C28" s="701">
        <v>1.6235338603258911</v>
      </c>
      <c r="D28" s="701"/>
      <c r="E28" s="717">
        <v>2.4078924809904101</v>
      </c>
      <c r="F28" s="736"/>
      <c r="G28" s="861">
        <f>B28</f>
        <v>0.784358620664519</v>
      </c>
      <c r="H28" s="459" t="s">
        <v>2009</v>
      </c>
      <c r="I28" s="666"/>
      <c r="J28" s="232"/>
      <c r="L28"/>
      <c r="M28"/>
      <c r="Q28"/>
      <c r="R28"/>
    </row>
    <row r="29" spans="1:18" x14ac:dyDescent="0.25">
      <c r="A29" s="708" t="s">
        <v>1999</v>
      </c>
      <c r="B29" s="730">
        <v>0.33219096069806042</v>
      </c>
      <c r="C29" s="701">
        <v>4.3185368564964202E-2</v>
      </c>
      <c r="D29" s="701"/>
      <c r="E29" s="717">
        <v>0.37537632926302461</v>
      </c>
      <c r="F29" s="736"/>
      <c r="G29" s="861">
        <f>B29</f>
        <v>0.33219096069806042</v>
      </c>
      <c r="H29" s="459" t="s">
        <v>2009</v>
      </c>
      <c r="I29" s="666"/>
      <c r="J29" s="232"/>
      <c r="L29"/>
      <c r="M29"/>
      <c r="Q29"/>
      <c r="R29"/>
    </row>
    <row r="30" spans="1:18" x14ac:dyDescent="0.25">
      <c r="A30" s="708" t="s">
        <v>1996</v>
      </c>
      <c r="B30" s="701"/>
      <c r="C30" s="701">
        <v>32.147701277041399</v>
      </c>
      <c r="D30" s="701"/>
      <c r="E30" s="717">
        <v>32.147701277041399</v>
      </c>
      <c r="F30" s="736"/>
      <c r="G30" s="860" t="s">
        <v>2132</v>
      </c>
      <c r="H30" s="670" t="s">
        <v>2121</v>
      </c>
      <c r="I30" s="666"/>
      <c r="J30" s="232"/>
      <c r="L30"/>
      <c r="M30"/>
      <c r="Q30"/>
      <c r="R30"/>
    </row>
    <row r="31" spans="1:18" x14ac:dyDescent="0.25">
      <c r="A31" s="708" t="s">
        <v>2001</v>
      </c>
      <c r="B31" s="701"/>
      <c r="C31" s="701"/>
      <c r="D31" s="701">
        <v>30.833616032845889</v>
      </c>
      <c r="E31" s="717">
        <v>30.833616032845889</v>
      </c>
      <c r="F31" s="736"/>
      <c r="G31" s="860" t="s">
        <v>661</v>
      </c>
      <c r="H31" s="670" t="s">
        <v>2120</v>
      </c>
      <c r="I31" s="665"/>
      <c r="J31" s="232"/>
      <c r="L31"/>
      <c r="M31"/>
      <c r="Q31"/>
      <c r="R31"/>
    </row>
    <row r="32" spans="1:18" x14ac:dyDescent="0.25">
      <c r="A32" s="708" t="s">
        <v>2054</v>
      </c>
      <c r="B32" s="701"/>
      <c r="C32" s="701"/>
      <c r="D32" s="701">
        <v>13.305610992065795</v>
      </c>
      <c r="E32" s="717">
        <v>13.305610992065795</v>
      </c>
      <c r="F32" s="736"/>
      <c r="G32" s="860" t="s">
        <v>661</v>
      </c>
      <c r="H32" s="670" t="s">
        <v>2120</v>
      </c>
      <c r="I32" s="666"/>
      <c r="J32" s="232"/>
      <c r="L32"/>
      <c r="M32"/>
      <c r="Q32"/>
      <c r="R32"/>
    </row>
    <row r="33" spans="1:18" x14ac:dyDescent="0.25">
      <c r="A33" s="708" t="s">
        <v>274</v>
      </c>
      <c r="B33" s="730">
        <v>14.188075138006839</v>
      </c>
      <c r="C33" s="701">
        <v>16.20006617855708</v>
      </c>
      <c r="D33" s="701"/>
      <c r="E33" s="717">
        <v>30.388141316563917</v>
      </c>
      <c r="F33" s="738">
        <v>1.0669999999999999</v>
      </c>
      <c r="G33" s="861">
        <f>(B33-B34)*F33</f>
        <v>7.6696761722532969</v>
      </c>
      <c r="H33" s="459" t="s">
        <v>2011</v>
      </c>
      <c r="I33" s="666"/>
      <c r="J33" s="232"/>
      <c r="L33"/>
      <c r="M33"/>
      <c r="Q33"/>
      <c r="R33"/>
    </row>
    <row r="34" spans="1:18" x14ac:dyDescent="0.25">
      <c r="A34" s="700" t="s">
        <v>315</v>
      </c>
      <c r="B34" s="193">
        <v>7</v>
      </c>
      <c r="F34" s="736"/>
      <c r="G34" s="861">
        <f>B34</f>
        <v>7</v>
      </c>
      <c r="H34" s="459" t="s">
        <v>2038</v>
      </c>
      <c r="I34" s="666"/>
      <c r="J34" s="232"/>
      <c r="L34"/>
      <c r="M34"/>
      <c r="Q34"/>
      <c r="R34"/>
    </row>
    <row r="35" spans="1:18" x14ac:dyDescent="0.25">
      <c r="A35" s="708" t="s">
        <v>276</v>
      </c>
      <c r="B35" s="730">
        <v>29.358257740279139</v>
      </c>
      <c r="C35" s="701"/>
      <c r="D35" s="701"/>
      <c r="E35" s="717">
        <v>29.358257740279139</v>
      </c>
      <c r="F35" s="736"/>
      <c r="G35" s="861">
        <f>B35</f>
        <v>29.358257740279139</v>
      </c>
      <c r="H35" s="678"/>
      <c r="I35" s="665"/>
      <c r="J35" s="232"/>
      <c r="L35"/>
      <c r="M35"/>
      <c r="Q35"/>
      <c r="R35"/>
    </row>
    <row r="36" spans="1:18" x14ac:dyDescent="0.25">
      <c r="A36" s="708" t="s">
        <v>275</v>
      </c>
      <c r="B36" s="730">
        <v>2.7526339005387515</v>
      </c>
      <c r="C36" s="701"/>
      <c r="D36" s="701"/>
      <c r="E36" s="717">
        <v>2.7526339005387515</v>
      </c>
      <c r="F36" s="738">
        <v>1.0669999999999999</v>
      </c>
      <c r="G36" s="861">
        <f>(B36+B37)*F36</f>
        <v>14.637118770631046</v>
      </c>
      <c r="H36" s="459" t="s">
        <v>2116</v>
      </c>
      <c r="I36" s="666"/>
      <c r="J36" s="232"/>
      <c r="L36"/>
      <c r="M36"/>
      <c r="Q36"/>
      <c r="R36"/>
    </row>
    <row r="37" spans="1:18" x14ac:dyDescent="0.25">
      <c r="A37" s="708" t="s">
        <v>2055</v>
      </c>
      <c r="B37" s="701">
        <v>10.965378068187629</v>
      </c>
      <c r="C37" s="701"/>
      <c r="D37" s="701"/>
      <c r="E37" s="717">
        <v>10.965378068187629</v>
      </c>
      <c r="F37" s="736"/>
      <c r="G37" s="861"/>
      <c r="H37" s="459" t="s">
        <v>2115</v>
      </c>
      <c r="I37" s="665"/>
      <c r="J37" s="232"/>
      <c r="L37"/>
      <c r="M37"/>
      <c r="Q37"/>
      <c r="R37"/>
    </row>
    <row r="38" spans="1:18" x14ac:dyDescent="0.25">
      <c r="A38" s="708" t="s">
        <v>2056</v>
      </c>
      <c r="B38" s="730">
        <v>86.055871037808146</v>
      </c>
      <c r="C38" s="701"/>
      <c r="D38" s="701"/>
      <c r="E38" s="717">
        <v>86.055871037808146</v>
      </c>
      <c r="F38" s="738">
        <v>1.0669999999999999</v>
      </c>
      <c r="G38" s="861">
        <f>B38*F38</f>
        <v>91.821614397341293</v>
      </c>
      <c r="H38" s="459" t="s">
        <v>2122</v>
      </c>
      <c r="I38" s="666"/>
      <c r="J38" s="232"/>
      <c r="L38"/>
      <c r="M38"/>
      <c r="Q38"/>
      <c r="R38"/>
    </row>
    <row r="39" spans="1:18" x14ac:dyDescent="0.25">
      <c r="A39" s="708" t="s">
        <v>277</v>
      </c>
      <c r="B39" s="701"/>
      <c r="C39" s="701">
        <v>68.225760269007807</v>
      </c>
      <c r="D39" s="701"/>
      <c r="E39" s="717">
        <v>68.225760269007807</v>
      </c>
      <c r="F39" s="736"/>
      <c r="G39" s="860" t="s">
        <v>2132</v>
      </c>
      <c r="H39" s="459"/>
      <c r="I39" s="666"/>
      <c r="J39" s="232"/>
      <c r="L39"/>
      <c r="M39"/>
      <c r="Q39"/>
      <c r="R39"/>
    </row>
    <row r="40" spans="1:18" x14ac:dyDescent="0.25">
      <c r="A40" s="708" t="s">
        <v>2057</v>
      </c>
      <c r="B40" s="730">
        <v>47.517924130117621</v>
      </c>
      <c r="C40" s="701"/>
      <c r="D40" s="701"/>
      <c r="E40" s="717">
        <v>47.517924130117621</v>
      </c>
      <c r="F40" s="738">
        <v>1.0669999999999999</v>
      </c>
      <c r="G40" s="861">
        <f>B40*F40</f>
        <v>50.701625046835495</v>
      </c>
      <c r="H40" s="459" t="s">
        <v>2122</v>
      </c>
      <c r="I40" s="666"/>
      <c r="J40" s="232"/>
      <c r="L40"/>
      <c r="M40"/>
      <c r="Q40"/>
      <c r="R40"/>
    </row>
    <row r="41" spans="1:18" x14ac:dyDescent="0.25">
      <c r="A41" s="708" t="s">
        <v>2002</v>
      </c>
      <c r="B41" s="701"/>
      <c r="C41" s="701">
        <v>45.972478211874858</v>
      </c>
      <c r="D41" s="701"/>
      <c r="E41" s="717">
        <v>45.972478211874858</v>
      </c>
      <c r="F41" s="736"/>
      <c r="G41" s="860" t="s">
        <v>2132</v>
      </c>
      <c r="H41" s="678"/>
      <c r="I41" s="666"/>
      <c r="J41" s="232"/>
      <c r="L41"/>
      <c r="M41"/>
      <c r="Q41"/>
      <c r="R41"/>
    </row>
    <row r="42" spans="1:18" x14ac:dyDescent="0.25">
      <c r="A42" s="708" t="s">
        <v>2058</v>
      </c>
      <c r="B42" s="701"/>
      <c r="C42" s="701">
        <v>33.463206176942798</v>
      </c>
      <c r="D42" s="701"/>
      <c r="E42" s="717">
        <v>33.463206176942798</v>
      </c>
      <c r="F42" s="736"/>
      <c r="G42" s="860" t="s">
        <v>2132</v>
      </c>
      <c r="H42" s="678"/>
      <c r="I42" s="666"/>
      <c r="J42" s="232"/>
      <c r="L42"/>
      <c r="M42"/>
      <c r="Q42"/>
      <c r="R42"/>
    </row>
    <row r="43" spans="1:18" x14ac:dyDescent="0.25">
      <c r="A43" s="708" t="s">
        <v>279</v>
      </c>
      <c r="B43" s="730">
        <v>32.267799032660669</v>
      </c>
      <c r="C43" s="701">
        <v>40.027810573674657</v>
      </c>
      <c r="D43" s="701"/>
      <c r="E43" s="717">
        <v>72.295609606335319</v>
      </c>
      <c r="F43" s="738">
        <v>1.0669999999999999</v>
      </c>
      <c r="G43" s="861">
        <f>B43*F43</f>
        <v>34.429741567848929</v>
      </c>
      <c r="H43" s="680"/>
      <c r="I43" s="667"/>
      <c r="J43" s="232"/>
      <c r="L43"/>
      <c r="M43"/>
      <c r="Q43"/>
      <c r="R43"/>
    </row>
    <row r="44" spans="1:18" x14ac:dyDescent="0.25">
      <c r="A44" s="708" t="s">
        <v>1933</v>
      </c>
      <c r="B44" s="730">
        <v>11.19521912058066</v>
      </c>
      <c r="C44" s="701">
        <v>27.186333262311159</v>
      </c>
      <c r="D44" s="701"/>
      <c r="E44" s="717">
        <v>38.381552382891819</v>
      </c>
      <c r="F44" s="738">
        <v>1.0669999999999999</v>
      </c>
      <c r="G44" s="861">
        <f>B44*F44</f>
        <v>11.945298801659563</v>
      </c>
      <c r="H44" s="680"/>
      <c r="I44" s="667"/>
      <c r="J44" s="232"/>
      <c r="L44"/>
      <c r="M44"/>
      <c r="Q44"/>
      <c r="R44"/>
    </row>
    <row r="45" spans="1:18" x14ac:dyDescent="0.25">
      <c r="A45" s="708" t="s">
        <v>2059</v>
      </c>
      <c r="B45" s="730">
        <v>12.310011391775721</v>
      </c>
      <c r="C45" s="701">
        <v>76.687365772758355</v>
      </c>
      <c r="D45" s="701"/>
      <c r="E45" s="717">
        <v>88.997377164534072</v>
      </c>
      <c r="F45" s="736"/>
      <c r="G45" s="861">
        <f>B45</f>
        <v>12.310011391775721</v>
      </c>
      <c r="H45" s="667" t="s">
        <v>2123</v>
      </c>
      <c r="I45" s="667"/>
      <c r="J45" s="232"/>
      <c r="L45"/>
      <c r="M45"/>
      <c r="Q45"/>
      <c r="R45"/>
    </row>
    <row r="46" spans="1:18" x14ac:dyDescent="0.25">
      <c r="A46" s="708" t="s">
        <v>2060</v>
      </c>
      <c r="B46" s="730">
        <v>18.679797164771909</v>
      </c>
      <c r="C46" s="701"/>
      <c r="D46" s="701"/>
      <c r="E46" s="717">
        <v>18.679797164771909</v>
      </c>
      <c r="F46" s="738">
        <v>1.0669999999999999</v>
      </c>
      <c r="G46" s="861">
        <f>B46*F46</f>
        <v>19.931343574811624</v>
      </c>
      <c r="H46" s="459" t="s">
        <v>2122</v>
      </c>
      <c r="I46" s="667"/>
      <c r="J46" s="232"/>
      <c r="L46"/>
      <c r="M46"/>
      <c r="Q46"/>
      <c r="R46"/>
    </row>
    <row r="47" spans="1:18" x14ac:dyDescent="0.25">
      <c r="A47" s="709" t="s">
        <v>281</v>
      </c>
      <c r="F47" s="736"/>
      <c r="G47" s="861"/>
      <c r="H47" s="459" t="s">
        <v>2124</v>
      </c>
      <c r="I47" s="667"/>
      <c r="J47" s="232"/>
      <c r="L47"/>
      <c r="M47"/>
      <c r="Q47"/>
      <c r="R47"/>
    </row>
    <row r="48" spans="1:18" x14ac:dyDescent="0.25">
      <c r="A48" s="709" t="s">
        <v>282</v>
      </c>
      <c r="F48" s="736"/>
      <c r="G48" s="861"/>
      <c r="H48" s="459" t="s">
        <v>2124</v>
      </c>
      <c r="I48" s="667"/>
      <c r="J48" s="232"/>
      <c r="L48"/>
      <c r="M48"/>
      <c r="Q48"/>
      <c r="R48"/>
    </row>
    <row r="49" spans="1:18" x14ac:dyDescent="0.25">
      <c r="A49" s="708" t="s">
        <v>283</v>
      </c>
      <c r="B49" s="730">
        <v>59.743488504632296</v>
      </c>
      <c r="C49" s="701">
        <v>18.101570251350729</v>
      </c>
      <c r="D49" s="701"/>
      <c r="E49" s="717">
        <v>77.845058755983018</v>
      </c>
      <c r="F49" s="738">
        <v>1.0669999999999999</v>
      </c>
      <c r="G49" s="861">
        <f>B49*F49</f>
        <v>63.746302234442659</v>
      </c>
      <c r="H49" s="667" t="s">
        <v>2125</v>
      </c>
      <c r="I49" s="667"/>
      <c r="J49" s="232"/>
      <c r="L49"/>
      <c r="M49"/>
      <c r="Q49"/>
      <c r="R49"/>
    </row>
    <row r="50" spans="1:18" x14ac:dyDescent="0.25">
      <c r="A50" s="708" t="s">
        <v>284</v>
      </c>
      <c r="B50" s="730">
        <v>26.590398438659477</v>
      </c>
      <c r="C50" s="701">
        <v>5.0758583111685063</v>
      </c>
      <c r="D50" s="701"/>
      <c r="E50" s="717">
        <v>31.666256749827983</v>
      </c>
      <c r="F50" s="736"/>
      <c r="G50" s="861">
        <f>B50</f>
        <v>26.590398438659477</v>
      </c>
      <c r="H50" s="667" t="s">
        <v>2125</v>
      </c>
      <c r="I50" s="667"/>
      <c r="J50" s="232"/>
      <c r="L50"/>
      <c r="M50"/>
      <c r="Q50"/>
      <c r="R50"/>
    </row>
    <row r="51" spans="1:18" x14ac:dyDescent="0.25">
      <c r="A51" s="708" t="s">
        <v>285</v>
      </c>
      <c r="B51" s="730">
        <v>40.586076150590152</v>
      </c>
      <c r="C51" s="701">
        <v>3.6699133211098101</v>
      </c>
      <c r="D51" s="701"/>
      <c r="E51" s="717">
        <v>44.255989471699962</v>
      </c>
      <c r="F51" s="738">
        <v>1.0669999999999999</v>
      </c>
      <c r="G51" s="861">
        <f>B51*F51</f>
        <v>43.305343252679691</v>
      </c>
      <c r="H51" s="680"/>
      <c r="I51" s="667"/>
      <c r="J51" s="232"/>
      <c r="L51"/>
      <c r="M51"/>
      <c r="Q51"/>
      <c r="R51"/>
    </row>
    <row r="52" spans="1:18" x14ac:dyDescent="0.25">
      <c r="A52" s="708" t="s">
        <v>286</v>
      </c>
      <c r="B52" s="730">
        <v>18.120137530582941</v>
      </c>
      <c r="C52" s="701">
        <v>0.57920535093442527</v>
      </c>
      <c r="D52" s="701"/>
      <c r="E52" s="717">
        <v>18.699342881517367</v>
      </c>
      <c r="F52" s="736"/>
      <c r="G52" s="861">
        <f>B52</f>
        <v>18.120137530582941</v>
      </c>
      <c r="H52" s="680"/>
      <c r="I52" s="667"/>
      <c r="J52" s="232"/>
      <c r="L52"/>
      <c r="M52"/>
      <c r="Q52"/>
      <c r="R52"/>
    </row>
    <row r="53" spans="1:18" x14ac:dyDescent="0.25">
      <c r="A53" s="708" t="s">
        <v>2061</v>
      </c>
      <c r="B53" s="730">
        <v>0.59689398596401455</v>
      </c>
      <c r="C53" s="701"/>
      <c r="D53" s="701"/>
      <c r="E53" s="717">
        <v>0.59689398596401455</v>
      </c>
      <c r="F53" s="738">
        <v>1.0669999999999999</v>
      </c>
      <c r="G53" s="861">
        <f>B53*F53</f>
        <v>0.63688588302360349</v>
      </c>
      <c r="H53" s="459" t="s">
        <v>2122</v>
      </c>
      <c r="I53" s="667"/>
      <c r="J53" s="232"/>
      <c r="L53"/>
      <c r="M53"/>
      <c r="Q53"/>
      <c r="R53"/>
    </row>
    <row r="54" spans="1:18" x14ac:dyDescent="0.25">
      <c r="A54" s="708" t="s">
        <v>288</v>
      </c>
      <c r="B54" s="730">
        <v>23.482626194306548</v>
      </c>
      <c r="C54" s="701">
        <v>0.84105611750820397</v>
      </c>
      <c r="D54" s="701"/>
      <c r="E54" s="717">
        <v>24.32368231181475</v>
      </c>
      <c r="F54" s="736"/>
      <c r="G54" s="861">
        <f>B54</f>
        <v>23.482626194306548</v>
      </c>
      <c r="H54" s="669"/>
      <c r="I54" s="665"/>
      <c r="J54" s="232"/>
      <c r="L54"/>
      <c r="M54"/>
      <c r="Q54"/>
      <c r="R54"/>
    </row>
    <row r="55" spans="1:18" x14ac:dyDescent="0.25">
      <c r="A55" s="83" t="s">
        <v>2171</v>
      </c>
      <c r="F55" s="736"/>
      <c r="G55" s="862"/>
      <c r="H55" s="459" t="s">
        <v>2024</v>
      </c>
      <c r="I55" s="665"/>
      <c r="L55"/>
      <c r="M55"/>
      <c r="Q55"/>
      <c r="R55"/>
    </row>
    <row r="56" spans="1:18" x14ac:dyDescent="0.25">
      <c r="A56" s="732" t="s">
        <v>2068</v>
      </c>
      <c r="B56" s="730">
        <v>42.621349138958863</v>
      </c>
      <c r="C56" s="701">
        <v>20.425063801604377</v>
      </c>
      <c r="D56" s="701"/>
      <c r="E56" s="717">
        <v>63.046412940563243</v>
      </c>
      <c r="F56" s="736"/>
      <c r="G56" s="861">
        <f>B56</f>
        <v>42.621349138958863</v>
      </c>
      <c r="H56" s="665" t="s">
        <v>2013</v>
      </c>
      <c r="I56" s="665"/>
      <c r="L56"/>
      <c r="M56"/>
      <c r="Q56"/>
      <c r="R56"/>
    </row>
    <row r="57" spans="1:18" x14ac:dyDescent="0.25">
      <c r="A57" s="732" t="s">
        <v>2063</v>
      </c>
      <c r="B57" s="730">
        <v>5.8198192688103072</v>
      </c>
      <c r="C57" s="701">
        <v>55.883269362423519</v>
      </c>
      <c r="D57" s="701"/>
      <c r="E57" s="717">
        <v>61.703088631233825</v>
      </c>
      <c r="F57" s="736"/>
      <c r="G57" s="861">
        <f>B57</f>
        <v>5.8198192688103072</v>
      </c>
      <c r="H57" s="665" t="s">
        <v>2013</v>
      </c>
      <c r="I57" s="665"/>
      <c r="J57" s="661"/>
      <c r="L57"/>
      <c r="M57"/>
      <c r="Q57"/>
      <c r="R57"/>
    </row>
    <row r="58" spans="1:18" x14ac:dyDescent="0.25">
      <c r="A58" s="732" t="s">
        <v>2073</v>
      </c>
      <c r="B58" s="730">
        <v>67.377730871138837</v>
      </c>
      <c r="C58" s="701">
        <v>6.3314917522620959</v>
      </c>
      <c r="D58" s="701"/>
      <c r="E58" s="717">
        <v>73.709222623400933</v>
      </c>
      <c r="F58" s="736"/>
      <c r="G58" s="861">
        <f>B58</f>
        <v>67.377730871138837</v>
      </c>
      <c r="H58" s="665" t="s">
        <v>2013</v>
      </c>
      <c r="I58" s="665"/>
      <c r="J58" s="661"/>
      <c r="L58"/>
      <c r="M58"/>
      <c r="Q58"/>
      <c r="R58"/>
    </row>
    <row r="59" spans="1:18" x14ac:dyDescent="0.25">
      <c r="A59" s="699" t="s">
        <v>2174</v>
      </c>
      <c r="F59" s="736"/>
      <c r="G59" s="862"/>
      <c r="H59" s="459" t="s">
        <v>2133</v>
      </c>
      <c r="I59" s="667"/>
      <c r="J59" s="232"/>
      <c r="L59"/>
      <c r="M59"/>
      <c r="Q59"/>
      <c r="R59"/>
    </row>
    <row r="60" spans="1:18" x14ac:dyDescent="0.25">
      <c r="A60" s="732" t="s">
        <v>2070</v>
      </c>
      <c r="B60" s="730">
        <v>48.132901089932112</v>
      </c>
      <c r="C60" s="701">
        <v>61.110676218996709</v>
      </c>
      <c r="D60" s="701"/>
      <c r="E60" s="717">
        <v>109.24357730892882</v>
      </c>
      <c r="F60" s="738">
        <v>1.0669999999999999</v>
      </c>
      <c r="G60" s="861">
        <f>B60*F60</f>
        <v>51.357805462957558</v>
      </c>
      <c r="H60" s="665" t="s">
        <v>298</v>
      </c>
      <c r="I60" s="665"/>
      <c r="L60"/>
      <c r="M60"/>
      <c r="Q60"/>
      <c r="R60"/>
    </row>
    <row r="61" spans="1:18" x14ac:dyDescent="0.25">
      <c r="A61" s="732" t="s">
        <v>2065</v>
      </c>
      <c r="B61" s="730">
        <v>1.6350967432656971</v>
      </c>
      <c r="C61" s="701">
        <v>93.078121350916319</v>
      </c>
      <c r="D61" s="701"/>
      <c r="E61" s="717">
        <v>94.713218094182011</v>
      </c>
      <c r="F61" s="738">
        <v>1.0669999999999999</v>
      </c>
      <c r="G61" s="861">
        <f>B61*F61</f>
        <v>1.7446482250644988</v>
      </c>
      <c r="H61" s="665" t="s">
        <v>298</v>
      </c>
      <c r="I61" s="665"/>
      <c r="L61"/>
      <c r="M61"/>
      <c r="Q61"/>
      <c r="R61"/>
    </row>
    <row r="62" spans="1:18" x14ac:dyDescent="0.25">
      <c r="A62" s="732" t="s">
        <v>2076</v>
      </c>
      <c r="B62" s="730">
        <v>0.54112634742083876</v>
      </c>
      <c r="C62" s="701">
        <v>0.32453477213985088</v>
      </c>
      <c r="D62" s="701"/>
      <c r="E62" s="717">
        <v>0.86566111956068958</v>
      </c>
      <c r="F62" s="738">
        <v>1.0669999999999999</v>
      </c>
      <c r="G62" s="861">
        <f>B62*F62</f>
        <v>0.5773818126980349</v>
      </c>
      <c r="H62" s="459" t="s">
        <v>307</v>
      </c>
      <c r="I62" s="665"/>
      <c r="L62"/>
      <c r="M62"/>
      <c r="Q62"/>
      <c r="R62"/>
    </row>
    <row r="63" spans="1:18" s="240" customFormat="1" x14ac:dyDescent="0.25">
      <c r="A63" s="708" t="s">
        <v>2172</v>
      </c>
      <c r="B63" s="730">
        <v>24.204700954114152</v>
      </c>
      <c r="C63" s="701"/>
      <c r="D63" s="701"/>
      <c r="E63" s="717">
        <v>24.204700954114152</v>
      </c>
      <c r="F63" s="738">
        <v>1.0669999999999999</v>
      </c>
      <c r="G63" s="861">
        <f>(B63-B64)*F63</f>
        <v>2.6725159180398008</v>
      </c>
      <c r="H63" s="670" t="s">
        <v>2129</v>
      </c>
      <c r="I63" s="669"/>
      <c r="J63" s="232"/>
    </row>
    <row r="64" spans="1:18" s="240" customFormat="1" x14ac:dyDescent="0.25">
      <c r="A64" s="732" t="s">
        <v>2127</v>
      </c>
      <c r="B64" s="3">
        <v>21.7</v>
      </c>
      <c r="C64" s="90" t="s">
        <v>2128</v>
      </c>
      <c r="D64" s="90"/>
      <c r="E64" s="90"/>
      <c r="F64" s="738">
        <v>1.0669999999999999</v>
      </c>
      <c r="G64" s="861">
        <f>B64*F64</f>
        <v>23.153899999999997</v>
      </c>
      <c r="H64" s="459" t="s">
        <v>2122</v>
      </c>
      <c r="I64" s="667"/>
      <c r="J64" s="232"/>
    </row>
    <row r="65" spans="1:18" s="240" customFormat="1" x14ac:dyDescent="0.25">
      <c r="A65" s="732" t="s">
        <v>2077</v>
      </c>
      <c r="B65" s="730">
        <v>3.1157234567511849</v>
      </c>
      <c r="C65" s="701"/>
      <c r="D65" s="701"/>
      <c r="E65" s="717">
        <v>3.1157234567511849</v>
      </c>
      <c r="F65" s="738">
        <v>1.0669999999999999</v>
      </c>
      <c r="G65" s="861">
        <f>B65*F65</f>
        <v>3.3244769283535143</v>
      </c>
      <c r="H65" s="670" t="s">
        <v>2126</v>
      </c>
      <c r="I65" s="667"/>
      <c r="J65" s="232"/>
    </row>
    <row r="66" spans="1:18" x14ac:dyDescent="0.25">
      <c r="A66" s="702" t="s">
        <v>2014</v>
      </c>
      <c r="C66" s="90" t="s">
        <v>2137</v>
      </c>
      <c r="F66" s="739" t="s">
        <v>2176</v>
      </c>
      <c r="G66" s="861">
        <f>G63+G65</f>
        <v>5.9969928463933151</v>
      </c>
      <c r="H66" s="459" t="s">
        <v>2158</v>
      </c>
      <c r="I66" s="668"/>
      <c r="J66" s="660"/>
      <c r="L66"/>
      <c r="M66"/>
      <c r="Q66"/>
      <c r="R66"/>
    </row>
    <row r="67" spans="1:18" x14ac:dyDescent="0.25">
      <c r="A67" s="702" t="s">
        <v>308</v>
      </c>
      <c r="C67" s="90" t="s">
        <v>2137</v>
      </c>
      <c r="F67" s="739" t="s">
        <v>2176</v>
      </c>
      <c r="G67" s="861">
        <f>G58+G73+G62+G77+G66</f>
        <v>90.791350625113338</v>
      </c>
      <c r="H67" s="459" t="s">
        <v>309</v>
      </c>
      <c r="I67" s="669"/>
      <c r="J67" s="232"/>
      <c r="L67"/>
      <c r="M67"/>
      <c r="Q67"/>
      <c r="R67"/>
    </row>
    <row r="68" spans="1:18" x14ac:dyDescent="0.25">
      <c r="A68" s="702" t="s">
        <v>299</v>
      </c>
      <c r="C68" s="90" t="s">
        <v>2137</v>
      </c>
      <c r="F68" s="739" t="s">
        <v>2176</v>
      </c>
      <c r="G68" s="861">
        <f>G56+G71+G60</f>
        <v>101.90455669807506</v>
      </c>
      <c r="H68" s="665"/>
      <c r="I68" s="667"/>
      <c r="J68" s="232"/>
      <c r="L68"/>
      <c r="M68"/>
      <c r="Q68"/>
      <c r="R68"/>
    </row>
    <row r="69" spans="1:18" x14ac:dyDescent="0.25">
      <c r="A69" s="702" t="s">
        <v>303</v>
      </c>
      <c r="C69" s="90" t="s">
        <v>2137</v>
      </c>
      <c r="F69" s="739" t="s">
        <v>2176</v>
      </c>
      <c r="G69" s="861">
        <f>G57+G72+G61</f>
        <v>8.3718617370696489</v>
      </c>
      <c r="H69" s="459"/>
      <c r="I69" s="668"/>
      <c r="J69" s="660"/>
      <c r="L69"/>
      <c r="M69"/>
      <c r="Q69"/>
      <c r="R69"/>
    </row>
    <row r="70" spans="1:18" x14ac:dyDescent="0.25">
      <c r="A70" s="699" t="s">
        <v>2003</v>
      </c>
      <c r="F70" s="737"/>
      <c r="G70" s="862"/>
      <c r="H70" s="459" t="s">
        <v>2133</v>
      </c>
      <c r="I70" s="665"/>
      <c r="L70"/>
      <c r="M70"/>
      <c r="Q70"/>
      <c r="R70"/>
    </row>
    <row r="71" spans="1:18" x14ac:dyDescent="0.25">
      <c r="A71" s="732" t="s">
        <v>2072</v>
      </c>
      <c r="B71" s="730">
        <v>7.4277432953689102</v>
      </c>
      <c r="C71" s="701">
        <v>3.2052646126541808</v>
      </c>
      <c r="D71" s="701"/>
      <c r="E71" s="717">
        <v>10.633007908023091</v>
      </c>
      <c r="F71" s="738">
        <v>1.0669999999999999</v>
      </c>
      <c r="G71" s="861">
        <f>B71*F71</f>
        <v>7.9254020961586269</v>
      </c>
      <c r="H71" s="665"/>
      <c r="I71" s="665"/>
      <c r="L71"/>
      <c r="M71"/>
      <c r="Q71"/>
      <c r="R71"/>
    </row>
    <row r="72" spans="1:18" x14ac:dyDescent="0.25">
      <c r="A72" s="732" t="s">
        <v>2066</v>
      </c>
      <c r="B72" s="730">
        <v>0.75669563560903774</v>
      </c>
      <c r="C72" s="701">
        <v>6.0175142964435802</v>
      </c>
      <c r="D72" s="701"/>
      <c r="E72" s="717">
        <v>6.7742099320526181</v>
      </c>
      <c r="F72" s="738">
        <v>1.0669999999999999</v>
      </c>
      <c r="G72" s="861">
        <f>B72*F72</f>
        <v>0.80739424319484321</v>
      </c>
      <c r="H72" s="665"/>
      <c r="I72" s="665"/>
      <c r="L72"/>
      <c r="M72"/>
      <c r="Q72"/>
      <c r="R72"/>
    </row>
    <row r="73" spans="1:18" x14ac:dyDescent="0.25">
      <c r="A73" s="732" t="s">
        <v>2078</v>
      </c>
      <c r="B73" s="730">
        <v>10.023221914257119</v>
      </c>
      <c r="C73" s="701">
        <v>0.61110695287632799</v>
      </c>
      <c r="D73" s="701"/>
      <c r="E73" s="717">
        <v>10.634328867133448</v>
      </c>
      <c r="F73" s="738">
        <v>1.0669999999999999</v>
      </c>
      <c r="G73" s="861">
        <f>B73*F73</f>
        <v>10.694777782512345</v>
      </c>
      <c r="H73" s="459"/>
      <c r="I73" s="665"/>
      <c r="L73"/>
      <c r="M73"/>
      <c r="Q73"/>
      <c r="R73"/>
    </row>
    <row r="74" spans="1:18" x14ac:dyDescent="0.25">
      <c r="A74" s="83" t="s">
        <v>2173</v>
      </c>
      <c r="F74" s="737"/>
      <c r="G74" s="860"/>
      <c r="H74" s="670" t="s">
        <v>2130</v>
      </c>
      <c r="I74" s="667"/>
      <c r="J74" s="232"/>
      <c r="L74"/>
      <c r="M74"/>
      <c r="Q74"/>
      <c r="R74"/>
    </row>
    <row r="75" spans="1:18" x14ac:dyDescent="0.25">
      <c r="A75" s="732" t="s">
        <v>293</v>
      </c>
      <c r="B75" s="701"/>
      <c r="C75" s="701">
        <v>24.837961928282802</v>
      </c>
      <c r="D75" s="701"/>
      <c r="E75" s="717">
        <v>24.837961928282802</v>
      </c>
      <c r="F75" s="736"/>
      <c r="G75" s="860" t="s">
        <v>2132</v>
      </c>
      <c r="H75" s="459" t="s">
        <v>2133</v>
      </c>
      <c r="I75" s="667"/>
      <c r="J75" s="232"/>
      <c r="L75"/>
      <c r="M75"/>
      <c r="Q75"/>
      <c r="R75"/>
    </row>
    <row r="76" spans="1:18" x14ac:dyDescent="0.25">
      <c r="A76" s="732" t="s">
        <v>291</v>
      </c>
      <c r="B76" s="701"/>
      <c r="C76" s="701">
        <v>40.369359295979628</v>
      </c>
      <c r="D76" s="701"/>
      <c r="E76" s="717">
        <v>40.369359295979628</v>
      </c>
      <c r="F76" s="736"/>
      <c r="G76" s="860" t="s">
        <v>2132</v>
      </c>
      <c r="H76" s="459" t="s">
        <v>2133</v>
      </c>
      <c r="I76" s="667"/>
      <c r="J76" s="232"/>
      <c r="L76"/>
      <c r="M76"/>
      <c r="Q76"/>
      <c r="R76"/>
    </row>
    <row r="77" spans="1:18" s="240" customFormat="1" x14ac:dyDescent="0.25">
      <c r="A77" s="732" t="s">
        <v>2075</v>
      </c>
      <c r="B77" s="730">
        <v>5.6893215855285231</v>
      </c>
      <c r="C77" s="701">
        <v>0.62261340272431731</v>
      </c>
      <c r="D77" s="701"/>
      <c r="E77" s="717">
        <v>6.3119349882528404</v>
      </c>
      <c r="F77" s="740">
        <v>1.08</v>
      </c>
      <c r="G77" s="861">
        <f>B77*F77</f>
        <v>6.1444673123708053</v>
      </c>
      <c r="H77" s="459"/>
      <c r="I77" s="668"/>
      <c r="J77" s="660"/>
    </row>
    <row r="78" spans="1:18" x14ac:dyDescent="0.25">
      <c r="A78" s="83"/>
      <c r="F78" s="737"/>
      <c r="G78" s="860"/>
      <c r="H78" s="670" t="s">
        <v>2130</v>
      </c>
      <c r="I78" s="669"/>
      <c r="J78" s="232"/>
      <c r="L78"/>
      <c r="M78"/>
      <c r="Q78"/>
      <c r="R78"/>
    </row>
    <row r="79" spans="1:18" x14ac:dyDescent="0.25">
      <c r="A79" s="83"/>
      <c r="F79" s="737"/>
      <c r="G79" s="860"/>
      <c r="H79" s="670" t="s">
        <v>2130</v>
      </c>
      <c r="I79" s="667"/>
      <c r="J79" s="232"/>
      <c r="L79"/>
      <c r="M79"/>
      <c r="Q79"/>
      <c r="R79"/>
    </row>
    <row r="80" spans="1:18" x14ac:dyDescent="0.25">
      <c r="A80" s="83"/>
      <c r="F80" s="737"/>
      <c r="G80" s="860"/>
      <c r="H80" s="670" t="s">
        <v>2130</v>
      </c>
      <c r="I80" s="668"/>
      <c r="J80" s="660"/>
      <c r="L80"/>
      <c r="M80"/>
      <c r="Q80"/>
      <c r="R80"/>
    </row>
    <row r="81" spans="1:18" s="240" customFormat="1" x14ac:dyDescent="0.25">
      <c r="A81" s="708" t="s">
        <v>2067</v>
      </c>
      <c r="B81" s="701">
        <v>139.78861874904123</v>
      </c>
      <c r="C81" s="701"/>
      <c r="D81" s="701"/>
      <c r="E81" s="717">
        <v>139.78861874904123</v>
      </c>
      <c r="F81" s="736"/>
      <c r="G81" s="860">
        <f>B81</f>
        <v>139.78861874904123</v>
      </c>
      <c r="H81" s="670" t="s">
        <v>2025</v>
      </c>
      <c r="I81" s="669"/>
      <c r="J81" s="232"/>
    </row>
    <row r="82" spans="1:18" x14ac:dyDescent="0.25">
      <c r="A82" s="708" t="s">
        <v>290</v>
      </c>
      <c r="B82" s="730">
        <v>735.55016220001869</v>
      </c>
      <c r="C82" s="701">
        <v>498.36403612883282</v>
      </c>
      <c r="D82" s="701"/>
      <c r="E82" s="717">
        <v>1233.9141983288514</v>
      </c>
      <c r="F82" s="736"/>
      <c r="G82" s="861">
        <f>B82</f>
        <v>735.55016220001869</v>
      </c>
      <c r="H82" s="459" t="s">
        <v>2155</v>
      </c>
      <c r="I82" s="667"/>
      <c r="J82" s="232"/>
      <c r="L82"/>
      <c r="M82"/>
      <c r="Q82"/>
      <c r="R82"/>
    </row>
    <row r="83" spans="1:18" x14ac:dyDescent="0.25">
      <c r="A83" s="702" t="s">
        <v>312</v>
      </c>
      <c r="C83" s="90" t="s">
        <v>2137</v>
      </c>
      <c r="F83" s="737"/>
      <c r="G83" s="863">
        <f>731/2</f>
        <v>365.5</v>
      </c>
      <c r="H83" s="459" t="s">
        <v>2027</v>
      </c>
      <c r="I83" s="668"/>
      <c r="J83" s="660"/>
      <c r="L83"/>
      <c r="M83"/>
      <c r="Q83"/>
      <c r="R83"/>
    </row>
    <row r="84" spans="1:18" x14ac:dyDescent="0.25">
      <c r="A84" s="702" t="s">
        <v>313</v>
      </c>
      <c r="C84" s="90" t="s">
        <v>2137</v>
      </c>
      <c r="F84" s="737"/>
      <c r="G84" s="863">
        <f>731/2</f>
        <v>365.5</v>
      </c>
      <c r="H84" s="459" t="s">
        <v>2012</v>
      </c>
      <c r="I84" s="665"/>
      <c r="L84"/>
      <c r="M84"/>
      <c r="Q84"/>
      <c r="R84"/>
    </row>
    <row r="85" spans="1:18" x14ac:dyDescent="0.25">
      <c r="A85" s="702" t="s">
        <v>311</v>
      </c>
      <c r="C85" s="90" t="s">
        <v>2137</v>
      </c>
      <c r="F85" s="737"/>
      <c r="G85" s="861">
        <f>G82-G83</f>
        <v>370.05016220001869</v>
      </c>
      <c r="H85" s="665" t="s">
        <v>2136</v>
      </c>
      <c r="I85" s="665"/>
      <c r="L85"/>
      <c r="M85"/>
      <c r="Q85"/>
      <c r="R85"/>
    </row>
    <row r="86" spans="1:18" s="240" customFormat="1" x14ac:dyDescent="0.25">
      <c r="A86" s="708" t="s">
        <v>294</v>
      </c>
      <c r="B86" s="730">
        <v>251.61256680042791</v>
      </c>
      <c r="C86" s="701">
        <v>50.808481133018368</v>
      </c>
      <c r="D86" s="701"/>
      <c r="E86" s="717">
        <v>302.42104793344629</v>
      </c>
      <c r="F86" s="737"/>
      <c r="G86" s="861">
        <f>B86</f>
        <v>251.61256680042791</v>
      </c>
      <c r="H86" s="680"/>
      <c r="I86" s="669"/>
      <c r="J86" s="660"/>
    </row>
    <row r="87" spans="1:18" x14ac:dyDescent="0.25">
      <c r="A87" s="708" t="s">
        <v>292</v>
      </c>
      <c r="B87" s="730">
        <v>50.792273968468322</v>
      </c>
      <c r="C87" s="701"/>
      <c r="D87" s="701"/>
      <c r="E87" s="717">
        <v>50.792273968468322</v>
      </c>
      <c r="F87" s="737"/>
      <c r="G87" s="861">
        <f>B87</f>
        <v>50.792273968468322</v>
      </c>
      <c r="H87" s="680"/>
      <c r="I87" s="667"/>
      <c r="J87" s="232"/>
      <c r="L87"/>
      <c r="M87"/>
      <c r="Q87"/>
      <c r="R87"/>
    </row>
    <row r="88" spans="1:18" x14ac:dyDescent="0.25">
      <c r="A88" s="708" t="s">
        <v>2004</v>
      </c>
      <c r="B88" s="701"/>
      <c r="C88" s="701"/>
      <c r="D88" s="701">
        <v>1.204888695499545</v>
      </c>
      <c r="E88" s="717">
        <v>1.204888695499545</v>
      </c>
      <c r="F88" s="736"/>
      <c r="G88" s="860" t="s">
        <v>661</v>
      </c>
      <c r="H88" s="680"/>
      <c r="I88" s="668"/>
      <c r="J88" s="232"/>
      <c r="L88"/>
      <c r="M88"/>
      <c r="Q88"/>
      <c r="R88"/>
    </row>
    <row r="89" spans="1:18" ht="15.75" thickBot="1" x14ac:dyDescent="0.3">
      <c r="A89" s="83"/>
      <c r="F89" s="741"/>
      <c r="G89" s="864" t="s">
        <v>661</v>
      </c>
      <c r="H89" s="240" t="s">
        <v>2028</v>
      </c>
      <c r="I89" s="665"/>
      <c r="J89" s="232"/>
      <c r="L89"/>
      <c r="M89"/>
      <c r="Q89"/>
      <c r="R89"/>
    </row>
    <row r="90" spans="1:18" x14ac:dyDescent="0.25">
      <c r="A90" s="725" t="s">
        <v>2053</v>
      </c>
      <c r="B90" s="731">
        <v>0.96865947933965413</v>
      </c>
      <c r="C90" s="726"/>
      <c r="D90" s="726"/>
      <c r="E90" s="727">
        <v>0.96865947933965413</v>
      </c>
      <c r="F90" s="735"/>
      <c r="G90" s="859">
        <v>0.96865967160497102</v>
      </c>
      <c r="H90" s="459" t="s">
        <v>2122</v>
      </c>
      <c r="I90" s="665"/>
      <c r="L90"/>
      <c r="M90"/>
      <c r="Q90"/>
      <c r="R90"/>
    </row>
    <row r="91" spans="1:18" x14ac:dyDescent="0.25">
      <c r="A91" s="708" t="s">
        <v>287</v>
      </c>
      <c r="B91" s="730">
        <v>48.041201284419387</v>
      </c>
      <c r="C91" s="701">
        <v>59.47700192375622</v>
      </c>
      <c r="D91" s="701"/>
      <c r="E91" s="717">
        <v>107.51820320817561</v>
      </c>
      <c r="F91" s="736"/>
      <c r="G91" s="861">
        <f>B91</f>
        <v>48.041201284419387</v>
      </c>
      <c r="H91" s="679"/>
      <c r="I91" s="665"/>
      <c r="L91"/>
      <c r="M91"/>
      <c r="Q91"/>
      <c r="R91"/>
    </row>
    <row r="92" spans="1:18" x14ac:dyDescent="0.25">
      <c r="A92" s="83"/>
      <c r="F92" s="737"/>
      <c r="G92" s="860"/>
      <c r="H92" s="667" t="s">
        <v>2135</v>
      </c>
      <c r="I92" s="670"/>
      <c r="L92"/>
      <c r="M92"/>
      <c r="Q92"/>
      <c r="R92"/>
    </row>
    <row r="93" spans="1:18" x14ac:dyDescent="0.25">
      <c r="A93" s="732" t="s">
        <v>2071</v>
      </c>
      <c r="B93" s="701"/>
      <c r="C93" s="701">
        <v>10.06958764329627</v>
      </c>
      <c r="D93" s="701"/>
      <c r="E93" s="717">
        <v>10.06958764329627</v>
      </c>
      <c r="F93" s="736"/>
      <c r="G93" s="860" t="s">
        <v>2132</v>
      </c>
      <c r="H93" s="665" t="s">
        <v>333</v>
      </c>
      <c r="I93" s="665"/>
      <c r="L93"/>
      <c r="M93"/>
      <c r="Q93"/>
      <c r="R93"/>
    </row>
    <row r="94" spans="1:18" x14ac:dyDescent="0.25">
      <c r="A94" s="732" t="s">
        <v>2069</v>
      </c>
      <c r="B94" s="730">
        <v>5.5284562737694909</v>
      </c>
      <c r="C94" s="701">
        <v>2.6784524416102289</v>
      </c>
      <c r="D94" s="701"/>
      <c r="E94" s="717">
        <v>8.2069087153797202</v>
      </c>
      <c r="F94" s="736"/>
      <c r="G94" s="861">
        <f>B94</f>
        <v>5.5284562737694909</v>
      </c>
      <c r="H94" s="665" t="s">
        <v>334</v>
      </c>
      <c r="I94" s="665"/>
      <c r="L94"/>
      <c r="M94"/>
      <c r="Q94"/>
      <c r="R94"/>
    </row>
    <row r="95" spans="1:18" x14ac:dyDescent="0.25">
      <c r="A95" s="732" t="s">
        <v>2064</v>
      </c>
      <c r="B95" s="730">
        <v>0.61557775822539806</v>
      </c>
      <c r="C95" s="701">
        <v>4.949843982353471</v>
      </c>
      <c r="D95" s="701"/>
      <c r="E95" s="717">
        <v>5.5654217405788691</v>
      </c>
      <c r="F95" s="736"/>
      <c r="G95" s="861">
        <f>B95</f>
        <v>0.61557775822539806</v>
      </c>
      <c r="H95" s="665" t="s">
        <v>334</v>
      </c>
      <c r="I95" s="665"/>
      <c r="L95"/>
      <c r="M95"/>
      <c r="Q95"/>
      <c r="R95"/>
    </row>
    <row r="96" spans="1:18" x14ac:dyDescent="0.25">
      <c r="A96" s="732" t="s">
        <v>2074</v>
      </c>
      <c r="B96" s="730">
        <v>7.1844510179373966</v>
      </c>
      <c r="C96" s="701">
        <v>0.6329735957200715</v>
      </c>
      <c r="D96" s="701"/>
      <c r="E96" s="717">
        <v>7.8174246136574679</v>
      </c>
      <c r="F96" s="736"/>
      <c r="G96" s="861">
        <f>B96</f>
        <v>7.1844510179373966</v>
      </c>
      <c r="H96" s="665" t="s">
        <v>334</v>
      </c>
      <c r="I96" s="665"/>
      <c r="L96"/>
      <c r="M96"/>
      <c r="Q96"/>
      <c r="R96"/>
    </row>
    <row r="97" spans="1:18" x14ac:dyDescent="0.25">
      <c r="A97" s="710" t="s">
        <v>2010</v>
      </c>
      <c r="C97" s="90" t="s">
        <v>2137</v>
      </c>
      <c r="F97" s="737"/>
      <c r="G97" s="861">
        <f>SUM(G91:G96)</f>
        <v>61.369686334351677</v>
      </c>
      <c r="H97" s="665"/>
      <c r="I97" s="665"/>
      <c r="L97"/>
      <c r="M97"/>
      <c r="Q97"/>
      <c r="R97"/>
    </row>
    <row r="98" spans="1:18" x14ac:dyDescent="0.25">
      <c r="A98" s="702" t="s">
        <v>335</v>
      </c>
      <c r="C98" s="90" t="s">
        <v>2137</v>
      </c>
      <c r="F98" s="737"/>
      <c r="G98" s="860">
        <f>G97/2</f>
        <v>30.684843167175838</v>
      </c>
      <c r="H98" s="665" t="s">
        <v>336</v>
      </c>
      <c r="I98" s="665"/>
      <c r="L98"/>
      <c r="M98"/>
      <c r="Q98"/>
      <c r="R98"/>
    </row>
    <row r="99" spans="1:18" x14ac:dyDescent="0.25">
      <c r="A99" s="709" t="s">
        <v>337</v>
      </c>
      <c r="C99" s="90" t="s">
        <v>2137</v>
      </c>
      <c r="F99" s="737"/>
      <c r="G99" s="860">
        <f>G98/2</f>
        <v>15.342421583587919</v>
      </c>
      <c r="H99" s="665" t="s">
        <v>2139</v>
      </c>
      <c r="I99" s="665"/>
      <c r="L99"/>
      <c r="M99"/>
      <c r="Q99"/>
      <c r="R99"/>
    </row>
    <row r="100" spans="1:18" x14ac:dyDescent="0.25">
      <c r="A100" s="709" t="s">
        <v>338</v>
      </c>
      <c r="C100" s="90" t="s">
        <v>2137</v>
      </c>
      <c r="F100" s="739">
        <v>1.0525</v>
      </c>
      <c r="G100" s="860">
        <f>(G98/2)*F100</f>
        <v>16.147898716726285</v>
      </c>
      <c r="H100" s="665" t="s">
        <v>2140</v>
      </c>
      <c r="I100" s="665"/>
      <c r="L100"/>
      <c r="M100"/>
      <c r="Q100"/>
      <c r="R100"/>
    </row>
    <row r="101" spans="1:18" ht="15.75" thickBot="1" x14ac:dyDescent="0.3">
      <c r="A101" s="728" t="s">
        <v>339</v>
      </c>
      <c r="B101" s="129"/>
      <c r="C101" s="729" t="s">
        <v>2137</v>
      </c>
      <c r="D101" s="129"/>
      <c r="E101" s="129"/>
      <c r="F101" s="742"/>
      <c r="G101" s="865">
        <f>G99+G100</f>
        <v>31.490320300314202</v>
      </c>
      <c r="H101" s="665"/>
      <c r="I101" s="665"/>
      <c r="J101" s="1"/>
      <c r="L101"/>
      <c r="M101"/>
      <c r="Q101"/>
      <c r="R101"/>
    </row>
    <row r="102" spans="1:18" x14ac:dyDescent="0.25">
      <c r="A102" s="722" t="s">
        <v>289</v>
      </c>
      <c r="B102" s="723">
        <v>474.85653635380379</v>
      </c>
      <c r="C102" s="723"/>
      <c r="D102" s="723"/>
      <c r="E102" s="724">
        <v>474.85653635380379</v>
      </c>
      <c r="F102" s="743"/>
      <c r="G102" s="866" t="s">
        <v>661</v>
      </c>
      <c r="H102" s="667" t="s">
        <v>2138</v>
      </c>
      <c r="I102" s="667"/>
      <c r="J102" s="232"/>
      <c r="L102"/>
      <c r="M102"/>
      <c r="Q102"/>
      <c r="R102"/>
    </row>
    <row r="103" spans="1:18" ht="15.75" thickBot="1" x14ac:dyDescent="0.3">
      <c r="A103" s="711" t="s">
        <v>2062</v>
      </c>
      <c r="B103" s="712">
        <v>0.24212006330317021</v>
      </c>
      <c r="C103" s="712"/>
      <c r="D103" s="712"/>
      <c r="E103" s="718">
        <v>0.24212006330317021</v>
      </c>
      <c r="F103" s="744"/>
      <c r="G103" s="867" t="s">
        <v>661</v>
      </c>
      <c r="H103" s="667" t="s">
        <v>2138</v>
      </c>
      <c r="I103" s="665"/>
      <c r="L103"/>
      <c r="M103"/>
      <c r="Q103"/>
      <c r="R103"/>
    </row>
    <row r="104" spans="1:18" x14ac:dyDescent="0.25">
      <c r="F104" s="407" t="s">
        <v>2175</v>
      </c>
      <c r="G104" s="1"/>
      <c r="H104" s="1"/>
      <c r="I104" s="665"/>
      <c r="L104"/>
      <c r="M104"/>
      <c r="Q104"/>
      <c r="R104"/>
    </row>
    <row r="105" spans="1:18" x14ac:dyDescent="0.25">
      <c r="F105" s="407"/>
      <c r="G105" s="1"/>
      <c r="H105" s="1"/>
      <c r="I105" s="665"/>
      <c r="L105"/>
      <c r="M105"/>
      <c r="Q105"/>
      <c r="R105"/>
    </row>
    <row r="106" spans="1:18" x14ac:dyDescent="0.25">
      <c r="A106" s="240"/>
      <c r="B106" s="240"/>
      <c r="C106" s="240"/>
      <c r="D106" s="240"/>
      <c r="E106" s="240"/>
      <c r="F106" s="1" t="s">
        <v>2169</v>
      </c>
      <c r="G106" s="676">
        <f>G101*43560</f>
        <v>1371718.3522816866</v>
      </c>
      <c r="H106" s="240" t="s">
        <v>1958</v>
      </c>
      <c r="I106" s="334"/>
      <c r="L106"/>
      <c r="M106"/>
      <c r="Q106"/>
      <c r="R106"/>
    </row>
    <row r="107" spans="1:18" x14ac:dyDescent="0.25">
      <c r="A107" s="240"/>
      <c r="B107" s="240"/>
      <c r="C107" s="240"/>
      <c r="D107" s="240"/>
      <c r="E107" s="240"/>
      <c r="F107" s="240"/>
      <c r="G107" s="676">
        <f>G106/60</f>
        <v>22861.972538028109</v>
      </c>
      <c r="H107" s="665" t="s">
        <v>2147</v>
      </c>
      <c r="I107" s="334"/>
      <c r="L107"/>
      <c r="M107"/>
      <c r="Q107"/>
      <c r="R107"/>
    </row>
    <row r="108" spans="1:18" x14ac:dyDescent="0.25">
      <c r="A108" s="716" t="s">
        <v>2170</v>
      </c>
      <c r="B108" s="733">
        <v>3273.5462282697999</v>
      </c>
      <c r="C108" s="733">
        <v>1759.4486259154176</v>
      </c>
      <c r="D108" s="733">
        <v>1099.3703543398074</v>
      </c>
      <c r="E108" s="733">
        <v>6132.3652085250296</v>
      </c>
      <c r="F108" s="240"/>
      <c r="G108" s="677">
        <f>G107/5280</f>
        <v>4.329919041293202</v>
      </c>
      <c r="H108" s="240" t="s">
        <v>1959</v>
      </c>
      <c r="I108" s="334"/>
      <c r="L108"/>
      <c r="M108"/>
      <c r="Q108"/>
      <c r="R108"/>
    </row>
    <row r="109" spans="1:18" x14ac:dyDescent="0.25">
      <c r="A109" s="240"/>
      <c r="B109" s="240"/>
      <c r="C109" s="240"/>
      <c r="D109" s="240"/>
      <c r="E109" s="240"/>
      <c r="F109" s="240"/>
      <c r="G109" s="334"/>
      <c r="H109" s="334"/>
      <c r="I109" s="240"/>
      <c r="L109"/>
      <c r="M109"/>
      <c r="Q109"/>
      <c r="R109"/>
    </row>
    <row r="110" spans="1:18" x14ac:dyDescent="0.25">
      <c r="A110" s="240"/>
      <c r="B110" s="240"/>
      <c r="C110" s="240"/>
      <c r="D110" s="240"/>
      <c r="E110" s="240"/>
      <c r="F110" s="240"/>
      <c r="G110" s="334"/>
      <c r="H110" s="334"/>
      <c r="I110" s="240"/>
      <c r="L110"/>
      <c r="M110"/>
      <c r="Q110"/>
      <c r="R110"/>
    </row>
    <row r="111" spans="1:18" x14ac:dyDescent="0.25">
      <c r="A111" s="240"/>
      <c r="B111" s="240"/>
      <c r="D111" s="679" t="s">
        <v>329</v>
      </c>
      <c r="E111" s="240"/>
      <c r="F111" s="240"/>
      <c r="G111" s="746">
        <f>G24+G15+G22+G52+G51+G50+G49+G48+G47+G43+G35+G36+G34+G33+G29+G28</f>
        <v>638.98895356453988</v>
      </c>
      <c r="H111" s="678" t="s">
        <v>330</v>
      </c>
      <c r="I111" s="360"/>
      <c r="J111" s="3"/>
      <c r="K111" s="3"/>
      <c r="L111"/>
      <c r="M111"/>
      <c r="Q111"/>
      <c r="R111"/>
    </row>
    <row r="112" spans="1:18" x14ac:dyDescent="0.25">
      <c r="A112" s="240"/>
      <c r="B112" s="240"/>
      <c r="D112" s="679" t="s">
        <v>331</v>
      </c>
      <c r="E112" s="240"/>
      <c r="F112" s="240"/>
      <c r="G112" s="747">
        <f>G68+G69+G67+G82+G86+G33+G34+G36+G35+G43+G47+G48+G49+G50+G51+G52+G22+G15+G24+G101+G29+G28+G44</f>
        <v>1870.6550707272183</v>
      </c>
      <c r="H112" s="678" t="s">
        <v>332</v>
      </c>
      <c r="I112" s="334"/>
      <c r="L112"/>
      <c r="M112"/>
      <c r="Q112"/>
      <c r="R112"/>
    </row>
    <row r="113" spans="1:18" x14ac:dyDescent="0.25">
      <c r="A113" s="240"/>
      <c r="B113" s="240"/>
      <c r="C113" s="240"/>
      <c r="D113" s="240"/>
      <c r="E113" s="240"/>
      <c r="F113" s="240"/>
      <c r="G113" s="334"/>
      <c r="H113" s="334"/>
      <c r="I113" s="334"/>
      <c r="L113"/>
      <c r="M113"/>
      <c r="Q113"/>
      <c r="R113"/>
    </row>
    <row r="114" spans="1:18" x14ac:dyDescent="0.25">
      <c r="A114" s="675"/>
      <c r="B114" s="675"/>
      <c r="C114" s="675"/>
      <c r="D114" s="675"/>
      <c r="E114" s="675"/>
      <c r="F114" s="675"/>
      <c r="G114" s="734">
        <f>'2-Earthmoving'!B665</f>
        <v>1870.6550707272183</v>
      </c>
      <c r="H114" s="665" t="s">
        <v>2148</v>
      </c>
      <c r="I114" s="240"/>
      <c r="L114"/>
      <c r="M114"/>
      <c r="Q114"/>
      <c r="R114"/>
    </row>
    <row r="115" spans="1:18" x14ac:dyDescent="0.25">
      <c r="A115" s="240"/>
      <c r="B115" s="240"/>
      <c r="C115" s="240"/>
      <c r="D115" s="240"/>
      <c r="E115" s="240"/>
      <c r="F115" s="240"/>
      <c r="G115" s="334"/>
      <c r="H115" s="334"/>
      <c r="I115" s="240"/>
      <c r="L115"/>
      <c r="M115"/>
      <c r="Q115"/>
      <c r="R115"/>
    </row>
    <row r="116" spans="1:18" x14ac:dyDescent="0.25">
      <c r="G116" s="1"/>
      <c r="H116" s="1"/>
      <c r="L116"/>
      <c r="M116"/>
      <c r="Q116"/>
      <c r="R116"/>
    </row>
    <row r="117" spans="1:18" x14ac:dyDescent="0.25">
      <c r="I117" s="21"/>
      <c r="L117"/>
      <c r="M117"/>
      <c r="Q117"/>
      <c r="R117"/>
    </row>
    <row r="118" spans="1:18" x14ac:dyDescent="0.25">
      <c r="A118" s="90"/>
      <c r="B118" s="90"/>
      <c r="L118" s="662"/>
      <c r="M118" s="90"/>
      <c r="N118" s="90"/>
      <c r="O118" s="90"/>
      <c r="Q118"/>
      <c r="R118"/>
    </row>
    <row r="119" spans="1:18" x14ac:dyDescent="0.25">
      <c r="Q119"/>
      <c r="R119"/>
    </row>
    <row r="120" spans="1:18" x14ac:dyDescent="0.25">
      <c r="Q120"/>
      <c r="R120"/>
    </row>
    <row r="121" spans="1:18" x14ac:dyDescent="0.25">
      <c r="Q121"/>
      <c r="R121"/>
    </row>
    <row r="122" spans="1:18" x14ac:dyDescent="0.25">
      <c r="Q122"/>
      <c r="R122"/>
    </row>
    <row r="123" spans="1:18" x14ac:dyDescent="0.25">
      <c r="Q123"/>
      <c r="R123"/>
    </row>
    <row r="124" spans="1:18" x14ac:dyDescent="0.25">
      <c r="Q124"/>
      <c r="R124"/>
    </row>
    <row r="126" spans="1:18" x14ac:dyDescent="0.25">
      <c r="A126" s="195" t="s">
        <v>1969</v>
      </c>
    </row>
    <row r="152" spans="16:16" x14ac:dyDescent="0.25">
      <c r="P152" s="248"/>
    </row>
    <row r="153" spans="16:16" x14ac:dyDescent="0.25">
      <c r="P153" s="248"/>
    </row>
    <row r="154" spans="16:16" x14ac:dyDescent="0.25">
      <c r="P154" s="248"/>
    </row>
    <row r="155" spans="16:16" x14ac:dyDescent="0.25">
      <c r="P155" s="248"/>
    </row>
    <row r="156" spans="16:16" x14ac:dyDescent="0.25">
      <c r="P156" s="248"/>
    </row>
    <row r="157" spans="16:16" x14ac:dyDescent="0.25">
      <c r="P157" s="248"/>
    </row>
    <row r="158" spans="16:16" x14ac:dyDescent="0.25">
      <c r="P158" s="248"/>
    </row>
    <row r="159" spans="16:16" x14ac:dyDescent="0.25">
      <c r="P159" s="248"/>
    </row>
    <row r="160" spans="16:16" x14ac:dyDescent="0.25">
      <c r="P160" s="248"/>
    </row>
    <row r="161" spans="16:16" x14ac:dyDescent="0.25">
      <c r="P161" s="248"/>
    </row>
    <row r="162" spans="16:16" x14ac:dyDescent="0.25">
      <c r="P162" s="248"/>
    </row>
    <row r="163" spans="16:16" x14ac:dyDescent="0.25">
      <c r="P163" s="248"/>
    </row>
    <row r="164" spans="16:16" x14ac:dyDescent="0.25">
      <c r="P164" s="248"/>
    </row>
    <row r="165" spans="16:16" x14ac:dyDescent="0.25">
      <c r="P165" s="248"/>
    </row>
    <row r="166" spans="16:16" x14ac:dyDescent="0.25">
      <c r="P166" s="248"/>
    </row>
    <row r="167" spans="16:16" x14ac:dyDescent="0.25">
      <c r="P167" s="248"/>
    </row>
    <row r="168" spans="16:16" x14ac:dyDescent="0.25">
      <c r="P168" s="248"/>
    </row>
    <row r="169" spans="16:16" x14ac:dyDescent="0.25">
      <c r="P169" s="248"/>
    </row>
    <row r="170" spans="16:16" x14ac:dyDescent="0.25">
      <c r="P170" s="248"/>
    </row>
    <row r="171" spans="16:16" x14ac:dyDescent="0.25">
      <c r="P171" s="248"/>
    </row>
    <row r="172" spans="16:16" x14ac:dyDescent="0.25">
      <c r="P172" s="248"/>
    </row>
    <row r="173" spans="16:16" x14ac:dyDescent="0.25">
      <c r="P173" s="248"/>
    </row>
    <row r="174" spans="16:16" x14ac:dyDescent="0.25">
      <c r="P174" s="248"/>
    </row>
    <row r="175" spans="16:16" x14ac:dyDescent="0.25">
      <c r="P175" s="248"/>
    </row>
    <row r="176" spans="16:16" x14ac:dyDescent="0.25">
      <c r="P176" s="248"/>
    </row>
    <row r="177" spans="1:16" x14ac:dyDescent="0.25">
      <c r="P177" s="248"/>
    </row>
    <row r="178" spans="1:16" x14ac:dyDescent="0.25">
      <c r="A178" s="720" t="s">
        <v>2163</v>
      </c>
      <c r="B178" s="704"/>
      <c r="C178" s="704"/>
      <c r="D178" s="704"/>
      <c r="E178" s="704"/>
      <c r="F178" s="704"/>
      <c r="G178" s="704"/>
      <c r="H178" s="704"/>
      <c r="P178" s="248"/>
    </row>
    <row r="179" spans="1:16" x14ac:dyDescent="0.25">
      <c r="N179" s="53"/>
      <c r="O179" s="240"/>
      <c r="P179" s="248"/>
    </row>
    <row r="180" spans="1:16" x14ac:dyDescent="0.25">
      <c r="P180" s="248"/>
    </row>
    <row r="181" spans="1:16" ht="30" x14ac:dyDescent="0.25">
      <c r="A181" s="337" t="s">
        <v>2084</v>
      </c>
      <c r="B181" s="329" t="s">
        <v>809</v>
      </c>
      <c r="C181" s="329" t="s">
        <v>2085</v>
      </c>
      <c r="D181" s="329" t="s">
        <v>2086</v>
      </c>
      <c r="P181" s="248"/>
    </row>
    <row r="182" spans="1:16" x14ac:dyDescent="0.25">
      <c r="A182" s="200" t="s">
        <v>2087</v>
      </c>
      <c r="B182" s="330">
        <v>1233.9000000000001</v>
      </c>
      <c r="C182" s="330">
        <v>498.4</v>
      </c>
      <c r="D182" s="845">
        <v>735.6</v>
      </c>
      <c r="F182" t="s">
        <v>2094</v>
      </c>
      <c r="N182" s="53"/>
      <c r="O182" s="240"/>
      <c r="P182" s="248"/>
    </row>
    <row r="183" spans="1:16" x14ac:dyDescent="0.25">
      <c r="A183" s="200" t="s">
        <v>2088</v>
      </c>
      <c r="B183" s="330">
        <v>302.39999999999998</v>
      </c>
      <c r="C183" s="330">
        <v>50.8</v>
      </c>
      <c r="D183" s="845">
        <v>251.6</v>
      </c>
      <c r="F183" t="s">
        <v>2094</v>
      </c>
      <c r="P183" s="248"/>
    </row>
    <row r="184" spans="1:16" x14ac:dyDescent="0.25">
      <c r="A184" s="200" t="s">
        <v>2089</v>
      </c>
      <c r="B184" s="330">
        <v>50.8</v>
      </c>
      <c r="C184" s="330">
        <v>0</v>
      </c>
      <c r="D184" s="330">
        <v>50.8</v>
      </c>
      <c r="F184" t="s">
        <v>2095</v>
      </c>
      <c r="P184" s="248"/>
    </row>
    <row r="185" spans="1:16" x14ac:dyDescent="0.25">
      <c r="B185" s="248"/>
      <c r="C185" s="248"/>
      <c r="D185" s="248"/>
      <c r="P185" s="248"/>
    </row>
    <row r="186" spans="1:16" ht="30" x14ac:dyDescent="0.25">
      <c r="A186" s="337" t="s">
        <v>2090</v>
      </c>
      <c r="B186" s="329" t="s">
        <v>809</v>
      </c>
      <c r="C186" s="329" t="s">
        <v>2085</v>
      </c>
      <c r="D186" s="329" t="s">
        <v>2086</v>
      </c>
      <c r="P186" s="248"/>
    </row>
    <row r="187" spans="1:16" x14ac:dyDescent="0.25">
      <c r="A187" s="200" t="s">
        <v>2091</v>
      </c>
      <c r="B187" s="330">
        <f>B182+B183</f>
        <v>1536.3000000000002</v>
      </c>
      <c r="C187" s="330">
        <f>C182+C183</f>
        <v>549.19999999999993</v>
      </c>
      <c r="D187" s="330">
        <f>D182+D183</f>
        <v>987.2</v>
      </c>
      <c r="P187" s="248"/>
    </row>
    <row r="188" spans="1:16" x14ac:dyDescent="0.25">
      <c r="A188" s="200" t="s">
        <v>2092</v>
      </c>
      <c r="B188" s="330">
        <v>0</v>
      </c>
      <c r="C188" s="330">
        <v>0</v>
      </c>
      <c r="D188" s="330">
        <v>0</v>
      </c>
      <c r="N188" s="53"/>
      <c r="O188" s="240"/>
      <c r="P188" s="240"/>
    </row>
    <row r="189" spans="1:16" x14ac:dyDescent="0.25">
      <c r="A189" s="200" t="s">
        <v>2093</v>
      </c>
      <c r="B189" s="330">
        <v>50.8</v>
      </c>
      <c r="C189" s="330">
        <v>0</v>
      </c>
      <c r="D189" s="330">
        <v>50.8</v>
      </c>
      <c r="N189" s="53"/>
      <c r="O189" s="240"/>
      <c r="P189" s="240"/>
    </row>
    <row r="190" spans="1:16" x14ac:dyDescent="0.25">
      <c r="E190" s="2" t="s">
        <v>2164</v>
      </c>
      <c r="N190" s="53"/>
      <c r="O190" s="240"/>
      <c r="P190" s="240"/>
    </row>
    <row r="191" spans="1:16" x14ac:dyDescent="0.25">
      <c r="E191" s="3" t="s">
        <v>2102</v>
      </c>
      <c r="N191" s="53"/>
      <c r="O191" s="240"/>
      <c r="P191" s="240"/>
    </row>
    <row r="192" spans="1:16" x14ac:dyDescent="0.25">
      <c r="C192" s="30" t="s">
        <v>2142</v>
      </c>
      <c r="D192" t="s">
        <v>2096</v>
      </c>
      <c r="E192" s="30">
        <f>D182/5</f>
        <v>147.12</v>
      </c>
      <c r="F192" t="s">
        <v>2101</v>
      </c>
      <c r="N192" s="248"/>
      <c r="O192" s="248"/>
      <c r="P192" s="248"/>
    </row>
    <row r="193" spans="2:16" x14ac:dyDescent="0.25">
      <c r="B193" s="53"/>
      <c r="C193" s="30" t="s">
        <v>2142</v>
      </c>
      <c r="D193" t="s">
        <v>2097</v>
      </c>
      <c r="E193" s="30">
        <f>D182/5</f>
        <v>147.12</v>
      </c>
      <c r="F193" t="s">
        <v>2101</v>
      </c>
      <c r="N193" s="248"/>
      <c r="O193" s="248"/>
      <c r="P193" s="248"/>
    </row>
    <row r="194" spans="2:16" x14ac:dyDescent="0.25">
      <c r="C194" s="30" t="s">
        <v>2142</v>
      </c>
      <c r="D194" t="s">
        <v>2098</v>
      </c>
      <c r="E194" s="30">
        <f>D182/5</f>
        <v>147.12</v>
      </c>
      <c r="F194" t="s">
        <v>2101</v>
      </c>
      <c r="N194" s="248"/>
      <c r="O194" s="248"/>
      <c r="P194" s="248"/>
    </row>
    <row r="195" spans="2:16" x14ac:dyDescent="0.25">
      <c r="C195" s="30" t="s">
        <v>2142</v>
      </c>
      <c r="D195" t="s">
        <v>2099</v>
      </c>
      <c r="E195" s="30">
        <f>D182/5</f>
        <v>147.12</v>
      </c>
      <c r="F195" t="s">
        <v>2101</v>
      </c>
      <c r="N195" s="248"/>
      <c r="O195" s="248"/>
      <c r="P195" s="248"/>
    </row>
    <row r="196" spans="2:16" x14ac:dyDescent="0.25">
      <c r="B196" s="53"/>
      <c r="C196" s="30" t="s">
        <v>2142</v>
      </c>
      <c r="D196" t="s">
        <v>2100</v>
      </c>
      <c r="E196" s="30">
        <f>D182/5</f>
        <v>147.12</v>
      </c>
      <c r="F196" t="s">
        <v>2101</v>
      </c>
      <c r="N196" s="248"/>
      <c r="O196" s="248"/>
      <c r="P196" s="248"/>
    </row>
    <row r="197" spans="2:16" x14ac:dyDescent="0.25">
      <c r="B197" s="53"/>
      <c r="C197" s="407"/>
      <c r="D197" t="s">
        <v>1817</v>
      </c>
      <c r="E197" s="713">
        <f>$D$183/28</f>
        <v>8.9857142857142858</v>
      </c>
      <c r="F197" t="s">
        <v>2141</v>
      </c>
      <c r="N197" s="248"/>
      <c r="O197" s="248"/>
      <c r="P197" s="248"/>
    </row>
    <row r="198" spans="2:16" x14ac:dyDescent="0.25">
      <c r="D198" t="s">
        <v>1818</v>
      </c>
      <c r="E198" s="713">
        <f>$D$183/28</f>
        <v>8.9857142857142858</v>
      </c>
      <c r="F198" t="s">
        <v>2141</v>
      </c>
      <c r="N198" s="248"/>
      <c r="O198" s="248"/>
      <c r="P198" s="248"/>
    </row>
    <row r="199" spans="2:16" x14ac:dyDescent="0.25">
      <c r="D199" t="s">
        <v>1819</v>
      </c>
      <c r="E199" s="713">
        <f>$D$183/28</f>
        <v>8.9857142857142858</v>
      </c>
      <c r="F199" t="s">
        <v>2141</v>
      </c>
      <c r="N199" s="248"/>
      <c r="O199" s="248"/>
      <c r="P199" s="248"/>
    </row>
    <row r="200" spans="2:16" x14ac:dyDescent="0.25">
      <c r="D200" t="s">
        <v>1820</v>
      </c>
      <c r="E200" s="713">
        <f>$D$183/28</f>
        <v>8.9857142857142858</v>
      </c>
      <c r="F200" t="s">
        <v>2141</v>
      </c>
      <c r="N200" s="248"/>
      <c r="O200" s="248"/>
      <c r="P200" s="248"/>
    </row>
    <row r="201" spans="2:16" x14ac:dyDescent="0.25">
      <c r="C201" s="30" t="s">
        <v>2143</v>
      </c>
      <c r="D201" t="s">
        <v>1821</v>
      </c>
      <c r="E201" s="714">
        <f>E197*5</f>
        <v>44.928571428571431</v>
      </c>
      <c r="F201" t="s">
        <v>2188</v>
      </c>
      <c r="N201" s="248"/>
      <c r="O201" s="248"/>
      <c r="P201" s="248"/>
    </row>
    <row r="202" spans="2:16" x14ac:dyDescent="0.25">
      <c r="D202" t="s">
        <v>1822</v>
      </c>
      <c r="E202" s="713">
        <f>$D$183/28</f>
        <v>8.9857142857142858</v>
      </c>
      <c r="F202" t="s">
        <v>2141</v>
      </c>
      <c r="N202" s="248"/>
      <c r="O202" s="248"/>
      <c r="P202" s="248"/>
    </row>
    <row r="203" spans="2:16" x14ac:dyDescent="0.25">
      <c r="D203" t="s">
        <v>1823</v>
      </c>
      <c r="E203" s="713">
        <f>$D$183/28</f>
        <v>8.9857142857142858</v>
      </c>
      <c r="F203" t="s">
        <v>2141</v>
      </c>
      <c r="N203" s="248"/>
      <c r="O203" s="248"/>
      <c r="P203" s="248"/>
    </row>
    <row r="204" spans="2:16" x14ac:dyDescent="0.25">
      <c r="B204" s="53"/>
      <c r="C204" s="407"/>
      <c r="D204" t="s">
        <v>1824</v>
      </c>
      <c r="E204" s="713">
        <f>$D$183/28</f>
        <v>8.9857142857142858</v>
      </c>
      <c r="F204" t="s">
        <v>2141</v>
      </c>
      <c r="N204" s="248"/>
      <c r="O204" s="248"/>
      <c r="P204" s="248"/>
    </row>
    <row r="205" spans="2:16" x14ac:dyDescent="0.25">
      <c r="D205" t="s">
        <v>1825</v>
      </c>
      <c r="E205" s="713">
        <f>$D$183/28</f>
        <v>8.9857142857142858</v>
      </c>
      <c r="F205" t="s">
        <v>2141</v>
      </c>
      <c r="N205" s="248"/>
      <c r="O205" s="248"/>
      <c r="P205" s="248"/>
    </row>
    <row r="206" spans="2:16" x14ac:dyDescent="0.25">
      <c r="C206" s="30" t="s">
        <v>2143</v>
      </c>
      <c r="D206" t="s">
        <v>1826</v>
      </c>
      <c r="E206" s="714">
        <f>E202*5</f>
        <v>44.928571428571431</v>
      </c>
      <c r="F206" t="s">
        <v>2188</v>
      </c>
      <c r="N206" s="248"/>
      <c r="O206" s="248"/>
      <c r="P206" s="248"/>
    </row>
    <row r="207" spans="2:16" x14ac:dyDescent="0.25">
      <c r="D207" t="s">
        <v>1827</v>
      </c>
      <c r="E207" s="713">
        <f>$D$183/28</f>
        <v>8.9857142857142858</v>
      </c>
      <c r="F207" t="s">
        <v>2141</v>
      </c>
      <c r="N207" s="248"/>
      <c r="O207" s="248"/>
      <c r="P207" s="248"/>
    </row>
    <row r="208" spans="2:16" x14ac:dyDescent="0.25">
      <c r="D208" t="s">
        <v>1828</v>
      </c>
      <c r="E208" s="713">
        <f>$D$183/28</f>
        <v>8.9857142857142858</v>
      </c>
      <c r="F208" t="s">
        <v>2141</v>
      </c>
      <c r="N208" s="248"/>
      <c r="O208" s="248"/>
      <c r="P208" s="248"/>
    </row>
    <row r="209" spans="3:16" x14ac:dyDescent="0.25">
      <c r="D209" t="s">
        <v>1829</v>
      </c>
      <c r="E209" s="713">
        <f>$D$183/28</f>
        <v>8.9857142857142858</v>
      </c>
      <c r="F209" t="s">
        <v>2141</v>
      </c>
      <c r="N209" s="248"/>
      <c r="O209" s="248"/>
      <c r="P209" s="248"/>
    </row>
    <row r="210" spans="3:16" x14ac:dyDescent="0.25">
      <c r="D210" t="s">
        <v>1830</v>
      </c>
      <c r="E210" s="713">
        <f>$D$183/28</f>
        <v>8.9857142857142858</v>
      </c>
      <c r="F210" t="s">
        <v>2141</v>
      </c>
      <c r="N210" s="248"/>
      <c r="O210" s="248"/>
      <c r="P210" s="248"/>
    </row>
    <row r="211" spans="3:16" x14ac:dyDescent="0.25">
      <c r="C211" s="30" t="s">
        <v>2143</v>
      </c>
      <c r="D211" t="s">
        <v>1831</v>
      </c>
      <c r="E211" s="714">
        <f>E207*5</f>
        <v>44.928571428571431</v>
      </c>
      <c r="F211" t="s">
        <v>2188</v>
      </c>
      <c r="N211" s="248"/>
      <c r="O211" s="248"/>
      <c r="P211" s="248"/>
    </row>
    <row r="212" spans="3:16" x14ac:dyDescent="0.25">
      <c r="D212" t="s">
        <v>1832</v>
      </c>
      <c r="E212" s="713">
        <f>$D$183/28</f>
        <v>8.9857142857142858</v>
      </c>
      <c r="F212" t="s">
        <v>2141</v>
      </c>
      <c r="N212" s="248"/>
      <c r="O212" s="248"/>
      <c r="P212" s="248"/>
    </row>
    <row r="213" spans="3:16" x14ac:dyDescent="0.25">
      <c r="D213" t="s">
        <v>1833</v>
      </c>
      <c r="E213" s="713">
        <f>$D$183/28</f>
        <v>8.9857142857142858</v>
      </c>
      <c r="F213" t="s">
        <v>2141</v>
      </c>
      <c r="N213" s="248"/>
      <c r="O213" s="248"/>
      <c r="P213" s="248"/>
    </row>
    <row r="214" spans="3:16" x14ac:dyDescent="0.25">
      <c r="D214" t="s">
        <v>1834</v>
      </c>
      <c r="E214" s="713">
        <f>$D$183/28</f>
        <v>8.9857142857142858</v>
      </c>
      <c r="F214" t="s">
        <v>2141</v>
      </c>
      <c r="N214" s="248"/>
      <c r="O214" s="248"/>
      <c r="P214" s="248"/>
    </row>
    <row r="215" spans="3:16" x14ac:dyDescent="0.25">
      <c r="D215" t="s">
        <v>1835</v>
      </c>
      <c r="E215" s="713">
        <f>$D$183/28</f>
        <v>8.9857142857142858</v>
      </c>
      <c r="F215" t="s">
        <v>2141</v>
      </c>
    </row>
    <row r="216" spans="3:16" x14ac:dyDescent="0.25">
      <c r="C216" s="30" t="s">
        <v>2143</v>
      </c>
      <c r="D216" t="s">
        <v>1836</v>
      </c>
      <c r="E216" s="714">
        <f>E212*5</f>
        <v>44.928571428571431</v>
      </c>
      <c r="F216" t="s">
        <v>2188</v>
      </c>
    </row>
    <row r="217" spans="3:16" x14ac:dyDescent="0.25">
      <c r="D217" t="s">
        <v>1837</v>
      </c>
      <c r="E217" s="713">
        <f>$D$183/28</f>
        <v>8.9857142857142858</v>
      </c>
      <c r="F217" t="s">
        <v>2141</v>
      </c>
    </row>
    <row r="218" spans="3:16" x14ac:dyDescent="0.25">
      <c r="D218" t="s">
        <v>1838</v>
      </c>
      <c r="E218" s="713">
        <f>$D$183/28</f>
        <v>8.9857142857142858</v>
      </c>
      <c r="F218" t="s">
        <v>2141</v>
      </c>
    </row>
    <row r="219" spans="3:16" x14ac:dyDescent="0.25">
      <c r="D219" t="s">
        <v>1839</v>
      </c>
      <c r="E219" s="713">
        <f>$D$183/28</f>
        <v>8.9857142857142858</v>
      </c>
      <c r="F219" t="s">
        <v>2141</v>
      </c>
    </row>
    <row r="220" spans="3:16" x14ac:dyDescent="0.25">
      <c r="D220" t="s">
        <v>1840</v>
      </c>
      <c r="E220" s="713">
        <f>$D$183/28</f>
        <v>8.9857142857142858</v>
      </c>
      <c r="F220" t="s">
        <v>2141</v>
      </c>
    </row>
    <row r="221" spans="3:16" x14ac:dyDescent="0.25">
      <c r="C221" s="30" t="s">
        <v>2143</v>
      </c>
      <c r="D221" t="s">
        <v>1841</v>
      </c>
      <c r="E221" s="714">
        <f>E217*5</f>
        <v>44.928571428571431</v>
      </c>
      <c r="F221" t="s">
        <v>2188</v>
      </c>
    </row>
    <row r="222" spans="3:16" x14ac:dyDescent="0.25">
      <c r="C222" t="s">
        <v>2144</v>
      </c>
      <c r="D222" t="s">
        <v>1921</v>
      </c>
      <c r="E222" s="715">
        <f>$D$183/28</f>
        <v>8.9857142857142858</v>
      </c>
      <c r="F222" t="s">
        <v>2141</v>
      </c>
    </row>
    <row r="223" spans="3:16" x14ac:dyDescent="0.25">
      <c r="C223" t="s">
        <v>2144</v>
      </c>
      <c r="D223" t="s">
        <v>1922</v>
      </c>
      <c r="E223" s="715">
        <f>$D$183/28</f>
        <v>8.9857142857142858</v>
      </c>
      <c r="F223" t="s">
        <v>2141</v>
      </c>
    </row>
    <row r="224" spans="3:16" x14ac:dyDescent="0.25">
      <c r="C224" t="s">
        <v>2144</v>
      </c>
      <c r="D224" t="s">
        <v>1897</v>
      </c>
      <c r="E224" s="715">
        <f>$D$183/28</f>
        <v>8.9857142857142858</v>
      </c>
      <c r="F224" t="s">
        <v>2141</v>
      </c>
    </row>
    <row r="225" spans="2:6" x14ac:dyDescent="0.25">
      <c r="E225" s="713"/>
    </row>
    <row r="226" spans="2:6" x14ac:dyDescent="0.25">
      <c r="B226" t="s">
        <v>2145</v>
      </c>
      <c r="E226" s="721">
        <f>SUM(E201,E206,E211,E216,E221:E224)</f>
        <v>251.60000000000005</v>
      </c>
    </row>
    <row r="227" spans="2:6" x14ac:dyDescent="0.25">
      <c r="B227" t="s">
        <v>2146</v>
      </c>
      <c r="E227">
        <f>D183</f>
        <v>251.6</v>
      </c>
      <c r="F227" t="s">
        <v>2026</v>
      </c>
    </row>
  </sheetData>
  <mergeCells count="2">
    <mergeCell ref="A6:E6"/>
    <mergeCell ref="A7:E7"/>
  </mergeCells>
  <phoneticPr fontId="15" type="noConversion"/>
  <pageMargins left="0.25" right="0.25" top="0.75" bottom="0.75" header="0.3" footer="0.3"/>
  <pageSetup scale="38"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501A-BA73-4D59-8A08-DA6A6ADF2165}">
  <sheetPr codeName="Sheet4">
    <tabColor rgb="FFFFFF00"/>
    <pageSetUpPr fitToPage="1"/>
  </sheetPr>
  <dimension ref="A1:Q271"/>
  <sheetViews>
    <sheetView topLeftCell="A33" zoomScale="70" zoomScaleNormal="70" workbookViewId="0">
      <selection activeCell="G16" sqref="G16"/>
    </sheetView>
  </sheetViews>
  <sheetFormatPr defaultRowHeight="15" x14ac:dyDescent="0.25"/>
  <cols>
    <col min="1" max="1" width="42.42578125" customWidth="1"/>
    <col min="2" max="2" width="53" bestFit="1" customWidth="1"/>
    <col min="3" max="3" width="16.28515625" customWidth="1"/>
    <col min="4" max="4" width="13.7109375" customWidth="1"/>
    <col min="5" max="5" width="20.140625" bestFit="1" customWidth="1"/>
    <col min="6" max="6" width="11" customWidth="1"/>
    <col min="7" max="7" width="20.42578125" bestFit="1" customWidth="1"/>
    <col min="8" max="8" width="11" customWidth="1"/>
    <col min="9" max="9" width="55.28515625" bestFit="1" customWidth="1"/>
    <col min="10" max="10" width="12.28515625" bestFit="1" customWidth="1"/>
    <col min="11" max="11" width="18" customWidth="1"/>
    <col min="12" max="12" width="15.42578125" customWidth="1"/>
  </cols>
  <sheetData>
    <row r="1" spans="1:17" ht="15.6" customHeight="1" x14ac:dyDescent="0.25">
      <c r="A1" s="926" t="str">
        <f>Summary!A1</f>
        <v>Montana Resources, LLC</v>
      </c>
      <c r="B1" s="926"/>
      <c r="C1" s="926"/>
      <c r="D1" s="926"/>
      <c r="E1" s="926"/>
      <c r="F1" s="926"/>
    </row>
    <row r="2" spans="1:17" ht="15.6" customHeight="1" x14ac:dyDescent="0.25">
      <c r="A2" s="926" t="str">
        <f>Summary!A2</f>
        <v>Operating Permit #00030</v>
      </c>
      <c r="B2" s="926"/>
      <c r="C2" s="926"/>
      <c r="D2" s="926"/>
      <c r="E2" s="926"/>
      <c r="F2" s="926"/>
    </row>
    <row r="3" spans="1:17" ht="15.75" x14ac:dyDescent="0.25">
      <c r="A3" s="926" t="str">
        <f>Summary!A3</f>
        <v>Final Comprehensive 5-Year Bond Review</v>
      </c>
      <c r="B3" s="926"/>
      <c r="C3" s="926"/>
      <c r="D3" s="926"/>
      <c r="E3" s="926"/>
      <c r="F3" s="926"/>
    </row>
    <row r="4" spans="1:17" ht="15.6" customHeight="1" x14ac:dyDescent="0.25">
      <c r="A4" s="925">
        <f>Summary!A4</f>
        <v>46146</v>
      </c>
      <c r="B4" s="925"/>
      <c r="C4" s="925"/>
      <c r="D4" s="925"/>
      <c r="E4" s="925"/>
      <c r="F4" s="925"/>
    </row>
    <row r="6" spans="1:17" ht="15.75" x14ac:dyDescent="0.25">
      <c r="A6" s="914" t="s">
        <v>242</v>
      </c>
      <c r="B6" s="914"/>
      <c r="C6" s="914"/>
      <c r="D6" s="914"/>
      <c r="E6" s="914"/>
      <c r="F6" s="914"/>
      <c r="G6" s="914"/>
      <c r="H6" s="3"/>
    </row>
    <row r="7" spans="1:17" ht="15.75" thickBot="1" x14ac:dyDescent="0.3">
      <c r="A7" s="3"/>
      <c r="B7" s="3"/>
      <c r="C7" s="3"/>
      <c r="D7" s="3"/>
      <c r="E7" s="3"/>
      <c r="F7" s="3"/>
      <c r="G7" s="3"/>
      <c r="H7" s="3"/>
    </row>
    <row r="8" spans="1:17" s="3" customFormat="1" x14ac:dyDescent="0.25">
      <c r="A8" s="533"/>
      <c r="B8" s="534"/>
      <c r="C8" s="943" t="s">
        <v>382</v>
      </c>
      <c r="D8" s="943"/>
      <c r="E8" s="943" t="s">
        <v>383</v>
      </c>
      <c r="F8" s="943"/>
      <c r="G8" s="535" t="s">
        <v>384</v>
      </c>
      <c r="H8" s="9"/>
      <c r="I8" s="464" t="s">
        <v>240</v>
      </c>
    </row>
    <row r="9" spans="1:17" x14ac:dyDescent="0.25">
      <c r="A9" s="83"/>
      <c r="D9" s="1"/>
      <c r="F9" s="1"/>
      <c r="G9" s="536"/>
    </row>
    <row r="10" spans="1:17" x14ac:dyDescent="0.25">
      <c r="A10" s="537" t="s">
        <v>385</v>
      </c>
      <c r="B10" s="50"/>
      <c r="C10" s="50"/>
      <c r="D10" s="48"/>
      <c r="E10" s="50"/>
      <c r="F10" s="48"/>
      <c r="G10" s="538"/>
    </row>
    <row r="11" spans="1:17" x14ac:dyDescent="0.25">
      <c r="A11" s="539" t="s">
        <v>386</v>
      </c>
      <c r="B11" t="s">
        <v>387</v>
      </c>
      <c r="C11" s="748">
        <f>'AcreageTracking-MAP'!E31+'AcreageTracking-MAP'!E32</f>
        <v>44.139227024911683</v>
      </c>
      <c r="D11" s="77" t="s">
        <v>366</v>
      </c>
      <c r="E11" s="114"/>
      <c r="G11" s="540">
        <v>0</v>
      </c>
      <c r="H11" s="22"/>
      <c r="I11" s="164" t="s">
        <v>388</v>
      </c>
      <c r="J11" s="21"/>
      <c r="K11" s="90"/>
      <c r="L11" s="35"/>
      <c r="M11" s="35"/>
      <c r="N11" s="35"/>
      <c r="O11" s="35"/>
      <c r="P11" s="35"/>
      <c r="Q11" s="163"/>
    </row>
    <row r="12" spans="1:17" x14ac:dyDescent="0.25">
      <c r="A12" s="539" t="s">
        <v>389</v>
      </c>
      <c r="B12" t="s">
        <v>387</v>
      </c>
      <c r="C12" s="748">
        <f>'AcreageTracking-MAP'!E12+'AcreageTracking-MAP'!E13</f>
        <v>95.104961761547244</v>
      </c>
      <c r="D12" s="77" t="s">
        <v>366</v>
      </c>
      <c r="E12" s="114"/>
      <c r="G12" s="540">
        <v>0</v>
      </c>
      <c r="H12" s="22"/>
      <c r="I12" s="164" t="s">
        <v>388</v>
      </c>
      <c r="J12" s="21"/>
      <c r="K12" s="90"/>
      <c r="L12" s="35"/>
      <c r="M12" s="35"/>
      <c r="N12" s="35"/>
      <c r="O12" s="35"/>
      <c r="P12" s="35"/>
      <c r="Q12" s="163"/>
    </row>
    <row r="13" spans="1:17" x14ac:dyDescent="0.25">
      <c r="A13" s="83"/>
      <c r="C13" s="188"/>
      <c r="D13" s="73"/>
      <c r="G13" s="179"/>
    </row>
    <row r="14" spans="1:17" x14ac:dyDescent="0.25">
      <c r="A14" s="537" t="s">
        <v>390</v>
      </c>
      <c r="B14" s="50"/>
      <c r="C14" s="335"/>
      <c r="D14" s="749"/>
      <c r="E14" s="50"/>
      <c r="F14" s="48"/>
      <c r="G14" s="538"/>
    </row>
    <row r="15" spans="1:17" x14ac:dyDescent="0.25">
      <c r="A15" s="80" t="s">
        <v>391</v>
      </c>
      <c r="C15" s="92">
        <f>'AcreageTracking-MAP'!C108</f>
        <v>1759.4486259154176</v>
      </c>
      <c r="D15" s="77" t="s">
        <v>366</v>
      </c>
      <c r="E15" s="541">
        <v>500</v>
      </c>
      <c r="F15" s="542" t="s">
        <v>392</v>
      </c>
      <c r="G15" s="543">
        <f>C15*E15</f>
        <v>879724.31295770872</v>
      </c>
      <c r="I15" t="s">
        <v>2006</v>
      </c>
    </row>
    <row r="16" spans="1:17" x14ac:dyDescent="0.25">
      <c r="A16" s="537" t="s">
        <v>393</v>
      </c>
      <c r="B16" s="50"/>
      <c r="C16" s="335"/>
      <c r="D16" s="749"/>
      <c r="E16" s="50"/>
      <c r="F16" s="48"/>
      <c r="G16" s="544">
        <f>G15</f>
        <v>879724.31295770872</v>
      </c>
    </row>
    <row r="17" spans="1:17" x14ac:dyDescent="0.25">
      <c r="A17" s="120"/>
      <c r="B17" s="3"/>
      <c r="C17" s="73"/>
      <c r="D17" s="73"/>
      <c r="E17" s="21"/>
      <c r="F17" s="15"/>
    </row>
    <row r="18" spans="1:17" x14ac:dyDescent="0.25">
      <c r="A18" s="120"/>
      <c r="B18" s="3"/>
      <c r="C18" s="92"/>
      <c r="D18" s="750"/>
      <c r="E18" s="3"/>
      <c r="F18" s="2"/>
      <c r="G18" s="545"/>
    </row>
    <row r="19" spans="1:17" x14ac:dyDescent="0.25">
      <c r="A19" s="537" t="s">
        <v>395</v>
      </c>
      <c r="B19" s="50"/>
      <c r="C19" s="335"/>
      <c r="D19" s="749"/>
      <c r="E19" s="50"/>
      <c r="F19" s="48"/>
      <c r="G19" s="538"/>
    </row>
    <row r="20" spans="1:17" x14ac:dyDescent="0.25">
      <c r="A20" s="546" t="s">
        <v>396</v>
      </c>
      <c r="B20" s="30"/>
      <c r="C20" s="79"/>
      <c r="D20" s="564"/>
      <c r="E20" s="30"/>
      <c r="F20" s="36"/>
      <c r="G20" s="547"/>
    </row>
    <row r="21" spans="1:17" x14ac:dyDescent="0.25">
      <c r="A21" s="539" t="s">
        <v>397</v>
      </c>
      <c r="B21" t="s">
        <v>398</v>
      </c>
      <c r="C21" s="114"/>
      <c r="D21" s="114"/>
      <c r="E21" s="114"/>
      <c r="G21" s="560">
        <v>0</v>
      </c>
      <c r="H21" s="22"/>
      <c r="I21" s="164" t="s">
        <v>399</v>
      </c>
      <c r="J21" s="21"/>
      <c r="K21" s="90"/>
      <c r="L21" s="35"/>
      <c r="M21" s="35"/>
      <c r="N21" s="35"/>
      <c r="O21" s="35"/>
      <c r="P21" s="35"/>
      <c r="Q21" s="163"/>
    </row>
    <row r="22" spans="1:17" x14ac:dyDescent="0.25">
      <c r="A22" s="539" t="s">
        <v>400</v>
      </c>
      <c r="B22" t="s">
        <v>398</v>
      </c>
      <c r="C22" s="114"/>
      <c r="D22" s="114"/>
      <c r="E22" s="114"/>
      <c r="G22" s="560">
        <v>0</v>
      </c>
      <c r="H22" s="22"/>
      <c r="I22" s="164" t="s">
        <v>399</v>
      </c>
    </row>
    <row r="23" spans="1:17" x14ac:dyDescent="0.25">
      <c r="A23" s="539" t="s">
        <v>401</v>
      </c>
      <c r="B23" t="s">
        <v>398</v>
      </c>
      <c r="C23" s="114"/>
      <c r="D23" s="114"/>
      <c r="E23" s="114"/>
      <c r="G23" s="560">
        <v>0</v>
      </c>
      <c r="H23" s="22"/>
      <c r="I23" s="164" t="s">
        <v>399</v>
      </c>
    </row>
    <row r="24" spans="1:17" x14ac:dyDescent="0.25">
      <c r="A24" s="539" t="s">
        <v>402</v>
      </c>
      <c r="B24" t="s">
        <v>403</v>
      </c>
      <c r="C24" s="73"/>
      <c r="D24" s="73"/>
      <c r="G24" s="560">
        <v>0</v>
      </c>
    </row>
    <row r="25" spans="1:17" x14ac:dyDescent="0.25">
      <c r="A25" s="539" t="s">
        <v>404</v>
      </c>
      <c r="B25" t="s">
        <v>403</v>
      </c>
      <c r="C25" s="73"/>
      <c r="D25" s="73"/>
      <c r="G25" s="560">
        <v>0</v>
      </c>
    </row>
    <row r="26" spans="1:17" x14ac:dyDescent="0.25">
      <c r="A26" s="539" t="s">
        <v>405</v>
      </c>
      <c r="B26" t="s">
        <v>403</v>
      </c>
      <c r="C26" s="73"/>
      <c r="D26" s="73"/>
      <c r="G26" s="560">
        <v>0</v>
      </c>
    </row>
    <row r="27" spans="1:17" x14ac:dyDescent="0.25">
      <c r="A27" s="539" t="s">
        <v>406</v>
      </c>
      <c r="B27" s="655" t="s">
        <v>1974</v>
      </c>
      <c r="C27" s="487"/>
      <c r="D27" s="77"/>
      <c r="E27" s="548"/>
      <c r="F27" s="549"/>
      <c r="G27" s="560">
        <v>0</v>
      </c>
      <c r="H27" s="75"/>
      <c r="J27" s="33"/>
    </row>
    <row r="28" spans="1:17" x14ac:dyDescent="0.25">
      <c r="A28" s="539" t="s">
        <v>407</v>
      </c>
      <c r="B28" t="s">
        <v>1973</v>
      </c>
      <c r="C28" s="487"/>
      <c r="D28" s="77"/>
      <c r="E28" s="548"/>
      <c r="F28" s="549"/>
      <c r="G28" s="560">
        <v>0</v>
      </c>
      <c r="J28" s="33"/>
    </row>
    <row r="29" spans="1:17" x14ac:dyDescent="0.25">
      <c r="A29" s="539"/>
      <c r="B29" s="551"/>
      <c r="C29" s="487"/>
      <c r="D29" s="77"/>
      <c r="E29" s="548"/>
      <c r="F29" s="549"/>
      <c r="G29" s="550"/>
      <c r="I29" s="33"/>
      <c r="J29" s="323"/>
    </row>
    <row r="30" spans="1:17" x14ac:dyDescent="0.25">
      <c r="A30" s="539" t="s">
        <v>408</v>
      </c>
      <c r="B30" t="s">
        <v>409</v>
      </c>
      <c r="C30" s="73"/>
      <c r="D30" s="77"/>
      <c r="G30" s="560">
        <v>0</v>
      </c>
      <c r="I30" s="164" t="s">
        <v>399</v>
      </c>
      <c r="J30" s="22"/>
    </row>
    <row r="31" spans="1:17" x14ac:dyDescent="0.25">
      <c r="A31" s="539" t="s">
        <v>410</v>
      </c>
      <c r="B31" s="73" t="s">
        <v>411</v>
      </c>
      <c r="C31" s="73"/>
      <c r="D31" s="77"/>
      <c r="G31" s="552">
        <f>SUM(G32:G33)</f>
        <v>60598.799999999996</v>
      </c>
      <c r="I31" t="s">
        <v>412</v>
      </c>
      <c r="J31" s="324"/>
      <c r="K31" s="940" t="s">
        <v>1763</v>
      </c>
      <c r="L31" s="941"/>
      <c r="M31" s="481" t="s">
        <v>1764</v>
      </c>
      <c r="N31" s="481"/>
      <c r="O31" s="481"/>
      <c r="P31" s="482"/>
    </row>
    <row r="32" spans="1:17" x14ac:dyDescent="0.25">
      <c r="A32" s="553" t="s">
        <v>413</v>
      </c>
      <c r="B32" t="s">
        <v>412</v>
      </c>
      <c r="C32" s="85">
        <f>B168</f>
        <v>11840</v>
      </c>
      <c r="D32" s="77" t="s">
        <v>414</v>
      </c>
      <c r="E32" s="554">
        <f>(C75)*3</f>
        <v>3.57</v>
      </c>
      <c r="F32" s="542" t="s">
        <v>415</v>
      </c>
      <c r="G32" s="555">
        <f>E32*C32</f>
        <v>42268.799999999996</v>
      </c>
      <c r="I32" s="73" t="s">
        <v>416</v>
      </c>
      <c r="J32" s="21"/>
      <c r="K32" s="476">
        <f>(C32/(E75/3))*8</f>
        <v>78.933333333333337</v>
      </c>
      <c r="L32" s="21" t="s">
        <v>1759</v>
      </c>
      <c r="M32" s="21"/>
      <c r="N32" s="21"/>
      <c r="O32" s="21"/>
      <c r="P32" s="484"/>
    </row>
    <row r="33" spans="1:16" x14ac:dyDescent="0.25">
      <c r="A33" s="553" t="s">
        <v>417</v>
      </c>
      <c r="B33" t="s">
        <v>1762</v>
      </c>
      <c r="C33" s="85">
        <f>B172</f>
        <v>750</v>
      </c>
      <c r="D33" s="77" t="s">
        <v>418</v>
      </c>
      <c r="E33" s="164">
        <f>C77</f>
        <v>24.44</v>
      </c>
      <c r="F33" s="542" t="s">
        <v>419</v>
      </c>
      <c r="G33" s="555">
        <f>E33*C33</f>
        <v>18330</v>
      </c>
      <c r="I33" t="s">
        <v>420</v>
      </c>
      <c r="J33" s="21"/>
      <c r="K33" s="476">
        <f>(C33/E77)*8</f>
        <v>34.285714285714285</v>
      </c>
      <c r="L33" s="21" t="s">
        <v>1759</v>
      </c>
      <c r="M33" s="21"/>
      <c r="N33" s="21"/>
      <c r="O33" s="21"/>
      <c r="P33" s="484"/>
    </row>
    <row r="34" spans="1:16" x14ac:dyDescent="0.25">
      <c r="A34" s="539" t="s">
        <v>421</v>
      </c>
      <c r="B34" t="s">
        <v>422</v>
      </c>
      <c r="C34" s="73"/>
      <c r="D34" s="77"/>
      <c r="G34" s="552">
        <f>SUM(G35:G37)</f>
        <v>6451.583333333333</v>
      </c>
      <c r="J34" s="324"/>
      <c r="K34" s="477"/>
      <c r="L34" s="21"/>
      <c r="M34" s="21"/>
      <c r="N34" s="21"/>
      <c r="O34" s="21"/>
      <c r="P34" s="484"/>
    </row>
    <row r="35" spans="1:16" x14ac:dyDescent="0.25">
      <c r="A35" s="553" t="s">
        <v>413</v>
      </c>
      <c r="B35" t="s">
        <v>423</v>
      </c>
      <c r="C35" s="85">
        <f>C176</f>
        <v>905</v>
      </c>
      <c r="D35" s="77" t="s">
        <v>414</v>
      </c>
      <c r="E35" s="554">
        <f>C75*3</f>
        <v>3.57</v>
      </c>
      <c r="F35" s="542" t="s">
        <v>415</v>
      </c>
      <c r="G35" s="555">
        <f>E35*C35</f>
        <v>3230.85</v>
      </c>
      <c r="I35" t="s">
        <v>424</v>
      </c>
      <c r="K35" s="478">
        <f>(C35/(E75/3))*8</f>
        <v>6.0333333333333332</v>
      </c>
      <c r="L35" s="21" t="s">
        <v>1759</v>
      </c>
      <c r="M35" s="21"/>
      <c r="N35" s="21"/>
      <c r="O35" s="21"/>
      <c r="P35" s="484"/>
    </row>
    <row r="36" spans="1:16" x14ac:dyDescent="0.25">
      <c r="A36" s="553" t="s">
        <v>425</v>
      </c>
      <c r="B36" s="38"/>
      <c r="C36" s="487">
        <f>(2*30)+(2*30)</f>
        <v>120</v>
      </c>
      <c r="D36" s="77" t="s">
        <v>418</v>
      </c>
      <c r="E36" s="164">
        <f>C76</f>
        <v>14.27</v>
      </c>
      <c r="F36" s="542" t="s">
        <v>426</v>
      </c>
      <c r="G36" s="555">
        <f>E36*C36</f>
        <v>1712.3999999999999</v>
      </c>
      <c r="K36" s="478">
        <f>(C36/E76)*8</f>
        <v>3.2</v>
      </c>
      <c r="L36" s="21" t="s">
        <v>1759</v>
      </c>
      <c r="M36" s="21"/>
      <c r="N36" s="21"/>
      <c r="O36" s="21"/>
      <c r="P36" s="484"/>
    </row>
    <row r="37" spans="1:16" x14ac:dyDescent="0.25">
      <c r="A37" s="553" t="s">
        <v>427</v>
      </c>
      <c r="C37" s="85">
        <f>C177</f>
        <v>3016.6666666666665</v>
      </c>
      <c r="D37" s="77" t="s">
        <v>428</v>
      </c>
      <c r="E37" s="164">
        <f>C74</f>
        <v>0.5</v>
      </c>
      <c r="F37" s="542" t="s">
        <v>426</v>
      </c>
      <c r="G37" s="555">
        <f>E37*C37</f>
        <v>1508.3333333333333</v>
      </c>
      <c r="I37" t="s">
        <v>429</v>
      </c>
      <c r="K37" s="479">
        <f>(C37/E74)*8</f>
        <v>1.1224806201550388</v>
      </c>
      <c r="L37" s="480" t="s">
        <v>1759</v>
      </c>
      <c r="M37" s="480"/>
      <c r="N37" s="480"/>
      <c r="O37" s="480"/>
      <c r="P37" s="486"/>
    </row>
    <row r="38" spans="1:16" x14ac:dyDescent="0.25">
      <c r="A38" s="460" t="s">
        <v>2008</v>
      </c>
      <c r="B38" t="s">
        <v>2023</v>
      </c>
      <c r="C38" s="85"/>
      <c r="D38" s="77"/>
      <c r="E38" s="164"/>
      <c r="F38" s="542"/>
      <c r="G38" s="555"/>
      <c r="I38" t="s">
        <v>2020</v>
      </c>
      <c r="K38" s="435"/>
      <c r="L38" s="21"/>
      <c r="M38" s="21"/>
      <c r="N38" s="21"/>
      <c r="O38" s="21"/>
      <c r="P38" s="21"/>
    </row>
    <row r="39" spans="1:16" x14ac:dyDescent="0.25">
      <c r="A39" s="692" t="s">
        <v>1999</v>
      </c>
      <c r="B39" t="s">
        <v>2023</v>
      </c>
      <c r="C39" s="85"/>
      <c r="D39" s="77"/>
      <c r="E39" s="164"/>
      <c r="F39" s="542"/>
      <c r="G39" s="555"/>
      <c r="I39" t="s">
        <v>2020</v>
      </c>
      <c r="K39" s="435"/>
      <c r="L39" s="21"/>
      <c r="M39" s="21"/>
      <c r="N39" s="21"/>
      <c r="O39" s="21"/>
      <c r="P39" s="21"/>
    </row>
    <row r="40" spans="1:16" s="240" customFormat="1" ht="45" x14ac:dyDescent="0.25">
      <c r="A40" s="693" t="s">
        <v>2029</v>
      </c>
      <c r="B40" s="240" t="s">
        <v>2033</v>
      </c>
      <c r="C40" s="751">
        <v>1200</v>
      </c>
      <c r="D40" s="459" t="s">
        <v>418</v>
      </c>
      <c r="E40" s="685">
        <f>C102</f>
        <v>19.86</v>
      </c>
      <c r="F40" s="686" t="s">
        <v>419</v>
      </c>
      <c r="G40" s="688">
        <f>E40*C40</f>
        <v>23832</v>
      </c>
      <c r="I40" s="53" t="s">
        <v>2034</v>
      </c>
      <c r="K40" s="687"/>
      <c r="L40" s="406"/>
      <c r="M40" s="406"/>
      <c r="N40" s="406"/>
      <c r="O40" s="406"/>
      <c r="P40" s="406"/>
    </row>
    <row r="41" spans="1:16" x14ac:dyDescent="0.25">
      <c r="A41" s="556" t="s">
        <v>1756</v>
      </c>
      <c r="B41" s="77"/>
      <c r="C41" s="77"/>
      <c r="D41" s="77"/>
      <c r="E41" s="541"/>
      <c r="F41" s="557"/>
      <c r="G41" s="558"/>
      <c r="H41" s="321"/>
      <c r="I41" s="73"/>
      <c r="J41" s="33"/>
    </row>
    <row r="42" spans="1:16" x14ac:dyDescent="0.25">
      <c r="A42" s="559" t="s">
        <v>1766</v>
      </c>
      <c r="B42" s="73" t="s">
        <v>1758</v>
      </c>
      <c r="C42" s="487">
        <f>SUM(K32:K37)</f>
        <v>123.57486157253599</v>
      </c>
      <c r="D42" s="77" t="s">
        <v>1759</v>
      </c>
      <c r="E42" s="541">
        <f>'Equipment Rates 2025'!$E$16+'Equipment Rates 2025'!$E$48+('Labor Rates 2025'!$E$12*2)</f>
        <v>228.94</v>
      </c>
      <c r="F42" s="557" t="s">
        <v>537</v>
      </c>
      <c r="G42" s="560">
        <f>E42*C42</f>
        <v>28291.228808416392</v>
      </c>
      <c r="H42" s="321"/>
      <c r="I42" s="73" t="s">
        <v>1765</v>
      </c>
      <c r="J42" s="33"/>
    </row>
    <row r="43" spans="1:16" x14ac:dyDescent="0.25">
      <c r="A43" s="80"/>
      <c r="C43" s="73"/>
      <c r="D43" s="77"/>
      <c r="F43" s="1"/>
      <c r="G43" s="561"/>
    </row>
    <row r="44" spans="1:16" x14ac:dyDescent="0.25">
      <c r="A44" s="562" t="s">
        <v>430</v>
      </c>
      <c r="B44" s="563"/>
      <c r="C44" s="79"/>
      <c r="D44" s="564"/>
      <c r="E44" s="79"/>
      <c r="F44" s="564"/>
      <c r="G44" s="565"/>
      <c r="H44" s="75"/>
      <c r="J44" s="33"/>
    </row>
    <row r="45" spans="1:16" x14ac:dyDescent="0.25">
      <c r="A45" s="539" t="s">
        <v>431</v>
      </c>
      <c r="B45" t="s">
        <v>398</v>
      </c>
      <c r="C45" s="114"/>
      <c r="D45" s="114"/>
      <c r="E45" s="114"/>
      <c r="G45" s="560">
        <v>0</v>
      </c>
      <c r="H45" s="22"/>
      <c r="I45" s="164" t="s">
        <v>399</v>
      </c>
    </row>
    <row r="46" spans="1:16" x14ac:dyDescent="0.25">
      <c r="A46" s="539" t="s">
        <v>432</v>
      </c>
      <c r="B46" t="s">
        <v>398</v>
      </c>
      <c r="C46" s="114"/>
      <c r="D46" s="114"/>
      <c r="E46" s="114"/>
      <c r="G46" s="560">
        <v>0</v>
      </c>
      <c r="H46" s="22"/>
      <c r="I46" s="164" t="s">
        <v>399</v>
      </c>
    </row>
    <row r="47" spans="1:16" x14ac:dyDescent="0.25">
      <c r="A47" s="539" t="s">
        <v>433</v>
      </c>
      <c r="B47" t="s">
        <v>398</v>
      </c>
      <c r="C47" s="114"/>
      <c r="D47" s="114"/>
      <c r="E47" s="114"/>
      <c r="G47" s="560">
        <v>0</v>
      </c>
      <c r="H47" s="22"/>
      <c r="I47" s="164" t="s">
        <v>399</v>
      </c>
      <c r="K47" s="940" t="s">
        <v>1763</v>
      </c>
      <c r="L47" s="941"/>
      <c r="M47" s="481" t="s">
        <v>1764</v>
      </c>
      <c r="N47" s="481"/>
      <c r="O47" s="481"/>
      <c r="P47" s="482"/>
    </row>
    <row r="48" spans="1:16" x14ac:dyDescent="0.25">
      <c r="A48" s="539" t="s">
        <v>434</v>
      </c>
      <c r="B48" s="449"/>
      <c r="C48" s="487">
        <f>D237</f>
        <v>16665</v>
      </c>
      <c r="D48" s="77" t="s">
        <v>418</v>
      </c>
      <c r="E48" s="566">
        <f>$E$85</f>
        <v>9.64</v>
      </c>
      <c r="F48" s="542" t="s">
        <v>419</v>
      </c>
      <c r="G48" s="560">
        <f>C48*E48</f>
        <v>160650.6</v>
      </c>
      <c r="H48" s="75"/>
      <c r="I48" s="73" t="s">
        <v>1767</v>
      </c>
      <c r="J48" s="192"/>
      <c r="K48" s="483">
        <f>(C48/$C$85)*8</f>
        <v>666.6</v>
      </c>
      <c r="L48" s="21" t="s">
        <v>1759</v>
      </c>
      <c r="M48" s="21"/>
      <c r="N48" s="21"/>
      <c r="O48" s="21"/>
      <c r="P48" s="484"/>
    </row>
    <row r="49" spans="1:16" x14ac:dyDescent="0.25">
      <c r="A49" s="539" t="s">
        <v>435</v>
      </c>
      <c r="B49" t="s">
        <v>403</v>
      </c>
      <c r="C49" s="487">
        <f>D230</f>
        <v>22420</v>
      </c>
      <c r="D49" s="77" t="s">
        <v>418</v>
      </c>
      <c r="E49" s="566">
        <f>$E$85</f>
        <v>9.64</v>
      </c>
      <c r="F49" s="542" t="s">
        <v>419</v>
      </c>
      <c r="G49" s="560">
        <v>0</v>
      </c>
      <c r="H49" s="279"/>
      <c r="I49" s="73" t="s">
        <v>1976</v>
      </c>
      <c r="J49" s="192"/>
      <c r="K49" s="483">
        <f>(C49/$C$85)*8</f>
        <v>896.8</v>
      </c>
      <c r="L49" s="21" t="s">
        <v>1759</v>
      </c>
      <c r="M49" s="21"/>
      <c r="N49" s="21"/>
      <c r="O49" s="21"/>
      <c r="P49" s="484"/>
    </row>
    <row r="50" spans="1:16" x14ac:dyDescent="0.25">
      <c r="A50" s="539" t="s">
        <v>1861</v>
      </c>
      <c r="B50" s="73"/>
      <c r="C50" s="487"/>
      <c r="D50" s="77"/>
      <c r="E50" s="500"/>
      <c r="F50" s="542"/>
      <c r="G50" s="610"/>
      <c r="H50" s="75"/>
      <c r="I50" s="75"/>
      <c r="J50" s="372"/>
      <c r="K50" s="483"/>
      <c r="L50" s="21"/>
      <c r="M50" s="21"/>
      <c r="N50" s="21"/>
      <c r="O50" s="21"/>
      <c r="P50" s="484"/>
    </row>
    <row r="51" spans="1:16" x14ac:dyDescent="0.25">
      <c r="A51" s="567" t="s">
        <v>436</v>
      </c>
      <c r="B51" s="523" t="s">
        <v>437</v>
      </c>
      <c r="C51" s="507">
        <v>5280</v>
      </c>
      <c r="D51" s="77" t="s">
        <v>418</v>
      </c>
      <c r="E51" s="541">
        <f>E82</f>
        <v>2.76</v>
      </c>
      <c r="F51" s="568" t="s">
        <v>419</v>
      </c>
      <c r="G51" s="552">
        <f>E51*C51</f>
        <v>14572.8</v>
      </c>
      <c r="I51" s="162" t="s">
        <v>1768</v>
      </c>
      <c r="K51" s="485">
        <f>(C51/$C$82)*8</f>
        <v>60.342857142857142</v>
      </c>
      <c r="L51" s="480" t="s">
        <v>1759</v>
      </c>
      <c r="M51" s="480"/>
      <c r="N51" s="480"/>
      <c r="O51" s="480"/>
      <c r="P51" s="486"/>
    </row>
    <row r="52" spans="1:16" x14ac:dyDescent="0.25">
      <c r="A52" s="83"/>
      <c r="C52" s="73"/>
      <c r="D52" s="73"/>
      <c r="G52" s="611"/>
    </row>
    <row r="53" spans="1:16" x14ac:dyDescent="0.25">
      <c r="A53" s="510" t="s">
        <v>439</v>
      </c>
      <c r="B53" s="77"/>
      <c r="C53" s="73"/>
      <c r="D53" s="73"/>
      <c r="E53" s="73"/>
      <c r="F53" s="73"/>
      <c r="G53" s="612"/>
      <c r="J53" s="33"/>
      <c r="K53" t="s">
        <v>440</v>
      </c>
    </row>
    <row r="54" spans="1:16" x14ac:dyDescent="0.25">
      <c r="A54" s="556" t="s">
        <v>1756</v>
      </c>
      <c r="B54" s="73"/>
      <c r="C54" s="487"/>
      <c r="D54" s="77"/>
      <c r="E54" s="541"/>
      <c r="F54" s="557"/>
      <c r="G54" s="560"/>
      <c r="H54" s="321"/>
      <c r="I54" s="73"/>
      <c r="J54" s="33"/>
    </row>
    <row r="55" spans="1:16" x14ac:dyDescent="0.25">
      <c r="A55" s="559" t="s">
        <v>1757</v>
      </c>
      <c r="B55" s="73" t="s">
        <v>1758</v>
      </c>
      <c r="C55" s="487">
        <f>(SUM(K48:K51))/4</f>
        <v>405.93571428571431</v>
      </c>
      <c r="D55" s="77" t="s">
        <v>1759</v>
      </c>
      <c r="E55" s="541">
        <f>'Equipment Rates 2025'!$E$16+'Equipment Rates 2025'!$E$48+('Labor Rates 2025'!$E$12*2)</f>
        <v>228.94</v>
      </c>
      <c r="F55" s="557" t="s">
        <v>537</v>
      </c>
      <c r="G55" s="560">
        <f>E55*C55</f>
        <v>92934.92242857143</v>
      </c>
      <c r="H55" s="321"/>
      <c r="I55" s="73" t="s">
        <v>1760</v>
      </c>
      <c r="J55" s="33"/>
    </row>
    <row r="56" spans="1:16" x14ac:dyDescent="0.25">
      <c r="A56" s="80"/>
      <c r="C56" s="73"/>
      <c r="D56" s="77"/>
      <c r="F56" s="1"/>
      <c r="G56" s="561"/>
    </row>
    <row r="57" spans="1:16" x14ac:dyDescent="0.25">
      <c r="A57" s="562" t="s">
        <v>449</v>
      </c>
      <c r="B57" s="563"/>
      <c r="C57" s="79"/>
      <c r="D57" s="564"/>
      <c r="E57" s="79"/>
      <c r="F57" s="564"/>
      <c r="G57" s="565"/>
      <c r="H57" s="75"/>
      <c r="J57" s="33"/>
    </row>
    <row r="58" spans="1:16" x14ac:dyDescent="0.25">
      <c r="A58" s="569" t="s">
        <v>450</v>
      </c>
      <c r="B58" t="s">
        <v>1975</v>
      </c>
      <c r="C58" s="487"/>
      <c r="D58" s="77"/>
      <c r="E58" s="541"/>
      <c r="F58" s="557"/>
      <c r="G58" s="560">
        <v>0</v>
      </c>
      <c r="H58" s="321"/>
      <c r="I58" s="164" t="s">
        <v>399</v>
      </c>
      <c r="J58" s="33"/>
    </row>
    <row r="59" spans="1:16" x14ac:dyDescent="0.25">
      <c r="A59" s="569" t="s">
        <v>451</v>
      </c>
      <c r="B59" t="s">
        <v>1975</v>
      </c>
      <c r="C59" s="487"/>
      <c r="D59" s="77"/>
      <c r="E59" s="541"/>
      <c r="F59" s="557"/>
      <c r="G59" s="560">
        <v>0</v>
      </c>
      <c r="H59" s="321"/>
      <c r="I59" s="164" t="s">
        <v>399</v>
      </c>
      <c r="J59" s="33"/>
    </row>
    <row r="60" spans="1:16" x14ac:dyDescent="0.25">
      <c r="A60" s="569" t="s">
        <v>452</v>
      </c>
      <c r="B60" t="s">
        <v>1975</v>
      </c>
      <c r="C60" s="487"/>
      <c r="D60" s="77"/>
      <c r="E60" s="541"/>
      <c r="F60" s="557"/>
      <c r="G60" s="560">
        <v>0</v>
      </c>
      <c r="H60" s="321"/>
      <c r="I60" s="164" t="s">
        <v>399</v>
      </c>
      <c r="J60" s="33"/>
    </row>
    <row r="61" spans="1:16" x14ac:dyDescent="0.25">
      <c r="A61" s="569"/>
      <c r="B61" s="73"/>
      <c r="C61" s="487"/>
      <c r="D61" s="77"/>
      <c r="E61" s="541"/>
      <c r="F61" s="557"/>
      <c r="G61" s="558"/>
      <c r="H61" s="321"/>
      <c r="I61" s="73"/>
      <c r="J61" s="33"/>
    </row>
    <row r="62" spans="1:16" x14ac:dyDescent="0.25">
      <c r="A62" s="569" t="s">
        <v>441</v>
      </c>
      <c r="B62" s="73"/>
      <c r="C62" s="487"/>
      <c r="D62" s="77"/>
      <c r="E62" s="541"/>
      <c r="F62" s="557"/>
      <c r="G62" s="558"/>
      <c r="H62" s="321"/>
      <c r="I62" s="73"/>
      <c r="J62" s="33"/>
    </row>
    <row r="63" spans="1:16" x14ac:dyDescent="0.25">
      <c r="A63" s="570" t="s">
        <v>443</v>
      </c>
      <c r="B63" s="73"/>
      <c r="C63" s="487">
        <f>(C58*4)/2000</f>
        <v>0</v>
      </c>
      <c r="D63" s="77" t="s">
        <v>442</v>
      </c>
      <c r="E63" s="541">
        <f>$C$79</f>
        <v>3.21</v>
      </c>
      <c r="F63" s="557" t="s">
        <v>444</v>
      </c>
      <c r="G63" s="558">
        <f>E63*C63</f>
        <v>0</v>
      </c>
      <c r="H63" s="321"/>
      <c r="I63" s="73"/>
      <c r="J63" s="33"/>
    </row>
    <row r="64" spans="1:16" x14ac:dyDescent="0.25">
      <c r="A64" s="570" t="s">
        <v>445</v>
      </c>
      <c r="C64" s="487">
        <v>0</v>
      </c>
      <c r="D64" s="77" t="s">
        <v>453</v>
      </c>
      <c r="E64" s="541">
        <f>C88</f>
        <v>1582</v>
      </c>
      <c r="F64" s="557" t="s">
        <v>447</v>
      </c>
      <c r="G64" s="558">
        <f>E64*C64</f>
        <v>0</v>
      </c>
      <c r="H64" s="321"/>
      <c r="I64" s="73" t="s">
        <v>448</v>
      </c>
      <c r="J64" s="33"/>
    </row>
    <row r="65" spans="1:12" x14ac:dyDescent="0.25">
      <c r="A65" s="80"/>
      <c r="C65" s="73"/>
      <c r="D65" s="77"/>
      <c r="F65" s="1"/>
      <c r="G65" s="571"/>
    </row>
    <row r="66" spans="1:12" ht="15.75" thickBot="1" x14ac:dyDescent="0.3">
      <c r="A66" s="572" t="s">
        <v>454</v>
      </c>
      <c r="B66" s="573"/>
      <c r="C66" s="752"/>
      <c r="D66" s="753"/>
      <c r="E66" s="573"/>
      <c r="F66" s="574"/>
      <c r="G66" s="575">
        <f>G31+G34+SUM(G48:G55)+G42+G40</f>
        <v>387331.93457032111</v>
      </c>
    </row>
    <row r="70" spans="1:12" x14ac:dyDescent="0.25">
      <c r="A70" s="944" t="s">
        <v>455</v>
      </c>
      <c r="B70" s="945"/>
      <c r="C70" s="946"/>
      <c r="D70" s="463"/>
      <c r="E70" s="463"/>
      <c r="F70" s="463"/>
      <c r="G70" s="463"/>
      <c r="H70" s="463"/>
      <c r="I70" s="463" t="s">
        <v>456</v>
      </c>
      <c r="J70" s="463"/>
      <c r="K70" s="463"/>
      <c r="L70" s="463"/>
    </row>
    <row r="71" spans="1:12" x14ac:dyDescent="0.25">
      <c r="A71" s="463"/>
      <c r="B71" s="463"/>
      <c r="C71" s="463"/>
      <c r="D71" s="463"/>
      <c r="E71" s="463"/>
      <c r="F71" s="463"/>
      <c r="G71" s="463"/>
      <c r="H71" s="463"/>
      <c r="I71" s="463"/>
      <c r="J71" s="463"/>
      <c r="K71" s="463"/>
      <c r="L71" s="463"/>
    </row>
    <row r="72" spans="1:12" x14ac:dyDescent="0.25">
      <c r="A72" s="463" t="s">
        <v>457</v>
      </c>
      <c r="B72" s="463"/>
      <c r="C72" s="463"/>
      <c r="D72" s="463"/>
      <c r="E72" s="463"/>
      <c r="F72" s="463"/>
      <c r="G72" s="463"/>
      <c r="H72" s="463"/>
      <c r="I72" s="463"/>
      <c r="J72" s="463"/>
      <c r="K72" s="463"/>
      <c r="L72" s="463"/>
    </row>
    <row r="73" spans="1:12" x14ac:dyDescent="0.25">
      <c r="A73" s="463" t="s">
        <v>458</v>
      </c>
      <c r="B73" s="463" t="s">
        <v>459</v>
      </c>
      <c r="C73" s="169">
        <v>0.45</v>
      </c>
      <c r="D73" s="463" t="s">
        <v>426</v>
      </c>
      <c r="E73" s="463">
        <v>14800</v>
      </c>
      <c r="F73" s="463" t="s">
        <v>1761</v>
      </c>
      <c r="G73" s="463"/>
      <c r="H73" s="463"/>
      <c r="I73" s="463" t="s">
        <v>460</v>
      </c>
      <c r="J73" s="463"/>
      <c r="K73" s="463"/>
      <c r="L73" s="463"/>
    </row>
    <row r="74" spans="1:12" x14ac:dyDescent="0.25">
      <c r="A74" s="463" t="s">
        <v>461</v>
      </c>
      <c r="B74" s="463" t="s">
        <v>462</v>
      </c>
      <c r="C74" s="169">
        <v>0.5</v>
      </c>
      <c r="D74" s="463" t="s">
        <v>426</v>
      </c>
      <c r="E74" s="463">
        <v>21500</v>
      </c>
      <c r="F74" s="463" t="s">
        <v>1761</v>
      </c>
      <c r="G74" s="463"/>
      <c r="H74" s="463"/>
      <c r="I74" s="463" t="s">
        <v>463</v>
      </c>
      <c r="J74" s="463"/>
      <c r="K74" s="463"/>
      <c r="L74" s="463"/>
    </row>
    <row r="75" spans="1:12" x14ac:dyDescent="0.25">
      <c r="A75" s="463" t="s">
        <v>464</v>
      </c>
      <c r="B75" s="463" t="s">
        <v>465</v>
      </c>
      <c r="C75" s="169">
        <v>1.19</v>
      </c>
      <c r="D75" s="463" t="s">
        <v>415</v>
      </c>
      <c r="E75" s="463">
        <v>3600</v>
      </c>
      <c r="F75" s="463" t="s">
        <v>493</v>
      </c>
      <c r="G75" s="463"/>
      <c r="H75" s="463"/>
      <c r="I75" s="463" t="s">
        <v>466</v>
      </c>
      <c r="K75" s="463"/>
      <c r="L75" s="463"/>
    </row>
    <row r="76" spans="1:12" x14ac:dyDescent="0.25">
      <c r="A76" s="463" t="s">
        <v>467</v>
      </c>
      <c r="B76" s="463" t="s">
        <v>468</v>
      </c>
      <c r="C76" s="169">
        <v>14.27</v>
      </c>
      <c r="D76" s="463" t="s">
        <v>419</v>
      </c>
      <c r="E76" s="463">
        <v>300</v>
      </c>
      <c r="F76" s="463" t="s">
        <v>484</v>
      </c>
      <c r="G76" s="463"/>
      <c r="H76" s="463"/>
      <c r="I76" s="463" t="s">
        <v>469</v>
      </c>
      <c r="J76" s="463"/>
      <c r="K76" s="463"/>
      <c r="L76" s="463"/>
    </row>
    <row r="77" spans="1:12" x14ac:dyDescent="0.25">
      <c r="A77" s="463" t="s">
        <v>470</v>
      </c>
      <c r="B77" s="463" t="s">
        <v>471</v>
      </c>
      <c r="C77" s="169">
        <v>24.44</v>
      </c>
      <c r="D77" s="463" t="s">
        <v>419</v>
      </c>
      <c r="E77" s="463">
        <v>175</v>
      </c>
      <c r="F77" s="463" t="s">
        <v>484</v>
      </c>
      <c r="G77" s="463"/>
      <c r="H77" s="463"/>
      <c r="I77" s="463" t="s">
        <v>472</v>
      </c>
      <c r="J77" s="463"/>
      <c r="K77" s="463"/>
      <c r="L77" s="463"/>
    </row>
    <row r="78" spans="1:12" x14ac:dyDescent="0.25">
      <c r="A78" s="463" t="s">
        <v>473</v>
      </c>
      <c r="B78" s="463"/>
      <c r="C78" s="169">
        <v>14.49</v>
      </c>
      <c r="D78" s="463" t="s">
        <v>415</v>
      </c>
      <c r="E78" s="463"/>
      <c r="F78" s="463"/>
      <c r="G78" s="463"/>
      <c r="H78" s="463"/>
      <c r="I78" s="463" t="s">
        <v>474</v>
      </c>
      <c r="J78" s="463"/>
      <c r="K78" s="463"/>
      <c r="L78" s="463"/>
    </row>
    <row r="79" spans="1:12" x14ac:dyDescent="0.25">
      <c r="A79" s="463" t="s">
        <v>475</v>
      </c>
      <c r="B79" s="463"/>
      <c r="C79" s="169">
        <v>3.21</v>
      </c>
      <c r="D79" s="463" t="s">
        <v>419</v>
      </c>
      <c r="E79" s="463"/>
      <c r="F79" s="463"/>
      <c r="G79" s="463"/>
      <c r="H79" s="463"/>
      <c r="I79" s="463" t="s">
        <v>476</v>
      </c>
      <c r="J79" s="463"/>
      <c r="K79" s="463"/>
      <c r="L79" s="463"/>
    </row>
    <row r="80" spans="1:12" x14ac:dyDescent="0.25">
      <c r="A80" s="463" t="s">
        <v>477</v>
      </c>
      <c r="B80" s="463"/>
      <c r="C80" s="169">
        <v>38.200000000000003</v>
      </c>
      <c r="D80" s="463" t="s">
        <v>426</v>
      </c>
      <c r="E80" s="463"/>
      <c r="F80" s="463"/>
      <c r="G80" s="463"/>
      <c r="H80" s="463"/>
      <c r="I80" s="463" t="s">
        <v>478</v>
      </c>
      <c r="J80" s="463"/>
      <c r="K80" s="463"/>
      <c r="L80" s="463"/>
    </row>
    <row r="81" spans="1:12" x14ac:dyDescent="0.25">
      <c r="A81" s="463" t="s">
        <v>479</v>
      </c>
      <c r="B81" s="463" t="s">
        <v>480</v>
      </c>
      <c r="C81" s="169">
        <v>4.34</v>
      </c>
      <c r="D81" s="463" t="s">
        <v>419</v>
      </c>
      <c r="E81" s="463"/>
      <c r="F81" s="463"/>
      <c r="G81" s="463"/>
      <c r="H81" s="463"/>
      <c r="I81" s="463" t="s">
        <v>481</v>
      </c>
      <c r="J81" s="463"/>
      <c r="K81" s="463"/>
      <c r="L81" s="463"/>
    </row>
    <row r="82" spans="1:12" x14ac:dyDescent="0.25">
      <c r="A82" s="463" t="s">
        <v>482</v>
      </c>
      <c r="B82" s="463" t="s">
        <v>483</v>
      </c>
      <c r="C82" s="463">
        <v>700</v>
      </c>
      <c r="D82" s="463" t="s">
        <v>484</v>
      </c>
      <c r="E82" s="169">
        <v>2.76</v>
      </c>
      <c r="F82" s="463" t="s">
        <v>419</v>
      </c>
      <c r="G82" s="463"/>
      <c r="H82" s="463"/>
      <c r="I82" s="463" t="s">
        <v>438</v>
      </c>
      <c r="J82" s="463"/>
      <c r="K82" s="463"/>
      <c r="L82" s="463"/>
    </row>
    <row r="83" spans="1:12" x14ac:dyDescent="0.25">
      <c r="A83" s="463" t="s">
        <v>482</v>
      </c>
      <c r="B83" s="463" t="s">
        <v>485</v>
      </c>
      <c r="C83" s="463">
        <v>500</v>
      </c>
      <c r="D83" s="463" t="s">
        <v>484</v>
      </c>
      <c r="E83" s="169">
        <v>3.85</v>
      </c>
      <c r="F83" s="463" t="s">
        <v>419</v>
      </c>
      <c r="G83" s="463"/>
      <c r="H83" s="463"/>
      <c r="I83" s="463" t="s">
        <v>486</v>
      </c>
      <c r="J83" s="463"/>
      <c r="K83" s="463"/>
      <c r="L83" s="463"/>
    </row>
    <row r="84" spans="1:12" x14ac:dyDescent="0.25">
      <c r="A84" s="463" t="s">
        <v>482</v>
      </c>
      <c r="B84" s="463" t="s">
        <v>487</v>
      </c>
      <c r="C84" s="463">
        <v>300</v>
      </c>
      <c r="D84" s="463" t="s">
        <v>484</v>
      </c>
      <c r="E84" s="169">
        <v>6.45</v>
      </c>
      <c r="F84" s="463" t="s">
        <v>419</v>
      </c>
      <c r="G84" s="463"/>
      <c r="H84" s="463"/>
      <c r="I84" s="463" t="s">
        <v>488</v>
      </c>
      <c r="J84" s="463"/>
      <c r="K84" s="463"/>
      <c r="L84" s="463"/>
    </row>
    <row r="85" spans="1:12" x14ac:dyDescent="0.25">
      <c r="A85" s="463" t="s">
        <v>482</v>
      </c>
      <c r="B85" s="463" t="s">
        <v>489</v>
      </c>
      <c r="C85" s="463">
        <v>200</v>
      </c>
      <c r="D85" s="463" t="s">
        <v>484</v>
      </c>
      <c r="E85" s="169">
        <v>9.64</v>
      </c>
      <c r="F85" s="463" t="s">
        <v>419</v>
      </c>
      <c r="G85" s="463"/>
      <c r="H85" s="463"/>
      <c r="I85" s="463" t="s">
        <v>490</v>
      </c>
      <c r="J85" s="463"/>
      <c r="K85" s="463"/>
      <c r="L85" s="463"/>
    </row>
    <row r="86" spans="1:12" x14ac:dyDescent="0.25">
      <c r="A86" s="463" t="s">
        <v>491</v>
      </c>
      <c r="B86" s="463" t="s">
        <v>492</v>
      </c>
      <c r="C86" s="463">
        <v>500</v>
      </c>
      <c r="D86" s="463" t="s">
        <v>493</v>
      </c>
      <c r="E86" s="169">
        <v>14.49</v>
      </c>
      <c r="F86" s="463" t="s">
        <v>419</v>
      </c>
      <c r="G86" s="463"/>
      <c r="H86" s="463"/>
      <c r="I86" s="463" t="s">
        <v>474</v>
      </c>
      <c r="J86" s="463"/>
      <c r="K86" s="463"/>
      <c r="L86" s="463"/>
    </row>
    <row r="87" spans="1:12" x14ac:dyDescent="0.25">
      <c r="A87" s="463" t="s">
        <v>494</v>
      </c>
      <c r="B87" s="463" t="s">
        <v>492</v>
      </c>
      <c r="C87" s="463">
        <v>600</v>
      </c>
      <c r="D87" s="463" t="s">
        <v>484</v>
      </c>
      <c r="E87" s="169">
        <v>3.21</v>
      </c>
      <c r="F87" s="463" t="s">
        <v>419</v>
      </c>
      <c r="G87" s="463"/>
      <c r="H87" s="463"/>
      <c r="I87" s="463" t="s">
        <v>476</v>
      </c>
      <c r="J87" s="463"/>
      <c r="K87" s="463"/>
      <c r="L87" s="463"/>
    </row>
    <row r="88" spans="1:12" x14ac:dyDescent="0.25">
      <c r="A88" s="463" t="s">
        <v>495</v>
      </c>
      <c r="B88" s="463" t="s">
        <v>496</v>
      </c>
      <c r="C88" s="170">
        <v>1582</v>
      </c>
      <c r="D88" s="463" t="s">
        <v>447</v>
      </c>
      <c r="E88" s="463"/>
      <c r="F88" s="463"/>
      <c r="G88" s="463"/>
      <c r="H88" s="463"/>
      <c r="I88" s="463" t="s">
        <v>497</v>
      </c>
      <c r="J88" s="463"/>
      <c r="K88" s="463"/>
      <c r="L88" s="463"/>
    </row>
    <row r="89" spans="1:12" x14ac:dyDescent="0.25">
      <c r="A89" s="463" t="s">
        <v>495</v>
      </c>
      <c r="B89" s="463" t="s">
        <v>498</v>
      </c>
      <c r="C89" s="170">
        <v>2777</v>
      </c>
      <c r="D89" s="463" t="s">
        <v>447</v>
      </c>
      <c r="E89" s="463"/>
      <c r="F89" s="463"/>
      <c r="G89" s="463"/>
      <c r="H89" s="463"/>
      <c r="I89" s="463" t="s">
        <v>499</v>
      </c>
      <c r="J89" s="463"/>
      <c r="K89" s="463"/>
      <c r="L89" s="463"/>
    </row>
    <row r="90" spans="1:12" x14ac:dyDescent="0.25">
      <c r="A90" s="463" t="s">
        <v>495</v>
      </c>
      <c r="B90" s="463" t="s">
        <v>500</v>
      </c>
      <c r="C90" s="170">
        <v>4346</v>
      </c>
      <c r="D90" s="463" t="s">
        <v>447</v>
      </c>
      <c r="E90" s="463"/>
      <c r="F90" s="463"/>
      <c r="G90" s="463"/>
      <c r="H90" s="463"/>
      <c r="I90" s="463" t="s">
        <v>501</v>
      </c>
      <c r="J90" s="463"/>
      <c r="K90" s="463"/>
      <c r="L90" s="463"/>
    </row>
    <row r="91" spans="1:12" x14ac:dyDescent="0.25">
      <c r="A91" s="463" t="s">
        <v>502</v>
      </c>
      <c r="B91" s="463"/>
      <c r="C91" s="169">
        <v>90.28</v>
      </c>
      <c r="D91" s="463" t="s">
        <v>447</v>
      </c>
      <c r="E91" s="463"/>
      <c r="F91" s="463"/>
      <c r="G91" s="463"/>
      <c r="H91" s="463"/>
      <c r="I91" s="463" t="s">
        <v>503</v>
      </c>
      <c r="J91" s="463"/>
      <c r="K91" s="463"/>
      <c r="L91" s="463"/>
    </row>
    <row r="92" spans="1:12" x14ac:dyDescent="0.25">
      <c r="A92" s="463" t="s">
        <v>504</v>
      </c>
      <c r="B92" s="463"/>
      <c r="C92" s="169">
        <v>108.33</v>
      </c>
      <c r="D92" s="463" t="s">
        <v>447</v>
      </c>
      <c r="E92" s="463"/>
      <c r="F92" s="463"/>
      <c r="G92" s="463"/>
      <c r="H92" s="463"/>
      <c r="I92" s="463" t="s">
        <v>505</v>
      </c>
      <c r="J92" s="463"/>
      <c r="K92" s="463"/>
      <c r="L92" s="463"/>
    </row>
    <row r="93" spans="1:12" x14ac:dyDescent="0.25">
      <c r="A93" s="463" t="s">
        <v>506</v>
      </c>
      <c r="B93" s="463"/>
      <c r="C93" s="169">
        <v>117.75</v>
      </c>
      <c r="D93" s="463" t="s">
        <v>447</v>
      </c>
      <c r="E93" s="463"/>
      <c r="F93" s="463"/>
      <c r="G93" s="463"/>
      <c r="H93" s="463"/>
      <c r="I93" s="463" t="s">
        <v>507</v>
      </c>
      <c r="J93" s="463"/>
      <c r="K93" s="463"/>
      <c r="L93" s="463"/>
    </row>
    <row r="94" spans="1:12" x14ac:dyDescent="0.25">
      <c r="A94" s="463" t="s">
        <v>508</v>
      </c>
      <c r="B94" s="463"/>
      <c r="C94" s="169">
        <v>135.81</v>
      </c>
      <c r="D94" s="463" t="s">
        <v>447</v>
      </c>
      <c r="E94" s="463"/>
      <c r="F94" s="463"/>
      <c r="G94" s="463"/>
      <c r="H94" s="463"/>
      <c r="I94" s="463" t="s">
        <v>509</v>
      </c>
      <c r="J94" s="463"/>
      <c r="K94" s="463"/>
      <c r="L94" s="463"/>
    </row>
    <row r="95" spans="1:12" x14ac:dyDescent="0.25">
      <c r="A95" s="463" t="s">
        <v>510</v>
      </c>
      <c r="B95" s="463"/>
      <c r="C95" s="169">
        <v>158.57</v>
      </c>
      <c r="D95" s="463" t="s">
        <v>447</v>
      </c>
      <c r="E95" s="463"/>
      <c r="F95" s="463"/>
      <c r="G95" s="463"/>
      <c r="H95" s="463"/>
      <c r="I95" s="463" t="s">
        <v>511</v>
      </c>
      <c r="J95" s="463"/>
      <c r="K95" s="463"/>
      <c r="L95" s="463"/>
    </row>
    <row r="96" spans="1:12" x14ac:dyDescent="0.25">
      <c r="A96" s="463" t="s">
        <v>512</v>
      </c>
      <c r="B96" s="463"/>
      <c r="C96" s="169">
        <v>171.92</v>
      </c>
      <c r="D96" s="463" t="s">
        <v>447</v>
      </c>
      <c r="E96" s="463"/>
      <c r="F96" s="463"/>
      <c r="G96" s="463"/>
      <c r="H96" s="463"/>
      <c r="I96" s="463" t="s">
        <v>513</v>
      </c>
      <c r="J96" s="463"/>
      <c r="K96" s="463"/>
      <c r="L96" s="463"/>
    </row>
    <row r="97" spans="1:12" x14ac:dyDescent="0.25">
      <c r="A97" s="463" t="s">
        <v>514</v>
      </c>
      <c r="B97" s="463"/>
      <c r="C97" s="169">
        <v>505.76</v>
      </c>
      <c r="D97" s="463" t="s">
        <v>447</v>
      </c>
      <c r="E97" s="463"/>
      <c r="F97" s="463"/>
      <c r="G97" s="463"/>
      <c r="H97" s="463"/>
      <c r="I97" s="463" t="s">
        <v>515</v>
      </c>
      <c r="J97" s="463"/>
      <c r="K97" s="463"/>
      <c r="L97" s="463"/>
    </row>
    <row r="98" spans="1:12" x14ac:dyDescent="0.25">
      <c r="A98" s="463" t="s">
        <v>516</v>
      </c>
      <c r="B98" s="463"/>
      <c r="C98" s="169">
        <v>61.58</v>
      </c>
      <c r="D98" s="463" t="s">
        <v>426</v>
      </c>
      <c r="E98" s="463"/>
      <c r="F98" s="463"/>
      <c r="G98" s="463"/>
      <c r="H98" s="463"/>
      <c r="I98" s="463" t="s">
        <v>517</v>
      </c>
      <c r="J98" s="463"/>
      <c r="K98" s="463"/>
      <c r="L98" s="463"/>
    </row>
    <row r="99" spans="1:12" x14ac:dyDescent="0.25">
      <c r="A99" s="463" t="s">
        <v>518</v>
      </c>
      <c r="B99" s="463" t="s">
        <v>519</v>
      </c>
      <c r="C99" s="169">
        <v>2.71</v>
      </c>
      <c r="D99" s="463" t="s">
        <v>419</v>
      </c>
      <c r="E99" s="463"/>
      <c r="F99" s="463"/>
      <c r="G99" s="463"/>
      <c r="H99" s="463"/>
      <c r="I99" s="463" t="s">
        <v>520</v>
      </c>
      <c r="J99" s="463"/>
      <c r="K99" s="463"/>
      <c r="L99" s="463"/>
    </row>
    <row r="100" spans="1:12" x14ac:dyDescent="0.25">
      <c r="A100" s="463" t="s">
        <v>521</v>
      </c>
      <c r="B100" s="463"/>
      <c r="C100" s="169">
        <v>6.93</v>
      </c>
      <c r="D100" s="463" t="s">
        <v>419</v>
      </c>
      <c r="E100" s="463"/>
      <c r="F100" s="463"/>
      <c r="G100" s="463"/>
      <c r="H100" s="463"/>
      <c r="I100" s="463" t="s">
        <v>522</v>
      </c>
      <c r="J100" s="463"/>
      <c r="K100" s="463"/>
      <c r="L100" s="463"/>
    </row>
    <row r="101" spans="1:12" x14ac:dyDescent="0.25">
      <c r="A101" s="463" t="s">
        <v>523</v>
      </c>
      <c r="B101" s="463"/>
      <c r="C101" s="169">
        <v>125.33</v>
      </c>
      <c r="D101" s="463" t="s">
        <v>524</v>
      </c>
      <c r="E101" s="463"/>
      <c r="F101" s="463"/>
      <c r="G101" s="463"/>
      <c r="H101" s="463"/>
      <c r="I101" s="463" t="s">
        <v>525</v>
      </c>
      <c r="J101" s="463"/>
      <c r="K101" s="463"/>
      <c r="L101" s="463"/>
    </row>
    <row r="102" spans="1:12" x14ac:dyDescent="0.25">
      <c r="A102" s="463" t="s">
        <v>2030</v>
      </c>
      <c r="B102" s="463"/>
      <c r="C102" s="463">
        <v>19.86</v>
      </c>
      <c r="D102" s="684" t="s">
        <v>419</v>
      </c>
      <c r="E102" s="463"/>
      <c r="F102" s="463"/>
      <c r="G102" s="463"/>
      <c r="H102" s="463"/>
      <c r="I102" s="463" t="s">
        <v>2031</v>
      </c>
      <c r="J102" s="463"/>
      <c r="K102" s="463"/>
      <c r="L102" s="463"/>
    </row>
    <row r="103" spans="1:12" x14ac:dyDescent="0.25">
      <c r="A103" s="463" t="s">
        <v>526</v>
      </c>
      <c r="B103" s="463"/>
      <c r="C103" s="463"/>
      <c r="D103" s="463"/>
      <c r="E103" s="463"/>
      <c r="F103" s="463"/>
      <c r="G103" s="463"/>
      <c r="H103" s="463"/>
      <c r="I103" s="463" t="s">
        <v>527</v>
      </c>
      <c r="J103" s="463"/>
      <c r="K103" s="463"/>
      <c r="L103" s="463"/>
    </row>
    <row r="104" spans="1:12" x14ac:dyDescent="0.25">
      <c r="A104" s="942" t="s">
        <v>443</v>
      </c>
      <c r="B104" s="463"/>
      <c r="C104" s="170">
        <v>39</v>
      </c>
      <c r="D104" s="463" t="s">
        <v>444</v>
      </c>
      <c r="E104" s="463"/>
      <c r="F104" s="463"/>
      <c r="G104" s="463"/>
      <c r="H104" s="463"/>
      <c r="I104" s="463" t="s">
        <v>528</v>
      </c>
      <c r="J104" s="463"/>
      <c r="K104" s="463"/>
      <c r="L104" s="463"/>
    </row>
    <row r="105" spans="1:12" x14ac:dyDescent="0.25">
      <c r="A105" s="942"/>
      <c r="B105" s="463"/>
      <c r="C105" s="170">
        <v>390</v>
      </c>
      <c r="D105" s="463" t="s">
        <v>529</v>
      </c>
      <c r="E105" s="463"/>
      <c r="F105" s="463"/>
      <c r="G105" s="463"/>
      <c r="H105" s="463"/>
      <c r="I105" s="463" t="s">
        <v>528</v>
      </c>
      <c r="J105" s="463"/>
      <c r="K105" s="463"/>
      <c r="L105" s="463"/>
    </row>
    <row r="106" spans="1:12" x14ac:dyDescent="0.25">
      <c r="A106" s="463" t="s">
        <v>445</v>
      </c>
      <c r="B106" s="463"/>
      <c r="C106" s="170">
        <v>1200</v>
      </c>
      <c r="D106" s="463" t="s">
        <v>447</v>
      </c>
      <c r="E106" s="463"/>
      <c r="F106" s="463"/>
      <c r="G106" s="463"/>
      <c r="H106" s="463"/>
      <c r="I106" s="463" t="s">
        <v>530</v>
      </c>
      <c r="J106" s="463"/>
      <c r="K106" s="463"/>
      <c r="L106" s="463"/>
    </row>
    <row r="107" spans="1:12" x14ac:dyDescent="0.25">
      <c r="A107" s="463" t="s">
        <v>531</v>
      </c>
      <c r="B107" s="463"/>
      <c r="C107" s="169">
        <v>4</v>
      </c>
      <c r="D107" s="463" t="s">
        <v>532</v>
      </c>
      <c r="E107" s="463"/>
      <c r="F107" s="463"/>
      <c r="G107" s="463"/>
      <c r="H107" s="463"/>
      <c r="I107" s="463" t="s">
        <v>530</v>
      </c>
      <c r="J107" s="463"/>
      <c r="K107" s="463"/>
      <c r="L107" s="463"/>
    </row>
    <row r="108" spans="1:12" x14ac:dyDescent="0.25">
      <c r="A108" s="942" t="s">
        <v>533</v>
      </c>
      <c r="B108" s="463"/>
      <c r="C108" s="463">
        <v>10</v>
      </c>
      <c r="D108" s="463" t="s">
        <v>442</v>
      </c>
      <c r="E108" s="463"/>
      <c r="F108" s="463"/>
      <c r="G108" s="463"/>
      <c r="H108" s="463"/>
      <c r="I108" s="463" t="s">
        <v>530</v>
      </c>
      <c r="J108" s="463"/>
      <c r="K108" s="463"/>
      <c r="L108" s="463"/>
    </row>
    <row r="109" spans="1:12" x14ac:dyDescent="0.25">
      <c r="A109" s="942"/>
      <c r="B109" s="463"/>
      <c r="C109" s="463">
        <v>30</v>
      </c>
      <c r="D109" s="463" t="s">
        <v>534</v>
      </c>
      <c r="E109" s="463"/>
      <c r="F109" s="463"/>
      <c r="G109" s="463"/>
      <c r="H109" s="463"/>
      <c r="I109" s="463" t="s">
        <v>530</v>
      </c>
      <c r="J109" s="463"/>
      <c r="K109" s="463"/>
      <c r="L109" s="463"/>
    </row>
    <row r="110" spans="1:12" x14ac:dyDescent="0.25">
      <c r="A110" s="942"/>
      <c r="B110" s="463"/>
      <c r="C110" s="463">
        <v>810</v>
      </c>
      <c r="D110" s="463" t="s">
        <v>535</v>
      </c>
      <c r="E110" s="463"/>
      <c r="F110" s="463"/>
      <c r="G110" s="463"/>
      <c r="H110" s="463"/>
      <c r="I110" s="463" t="s">
        <v>530</v>
      </c>
      <c r="J110" s="463"/>
      <c r="K110" s="463"/>
      <c r="L110" s="463"/>
    </row>
    <row r="111" spans="1:12" x14ac:dyDescent="0.25">
      <c r="A111" s="463" t="s">
        <v>536</v>
      </c>
      <c r="B111" s="463"/>
      <c r="C111" s="170">
        <v>155</v>
      </c>
      <c r="D111" s="463" t="s">
        <v>537</v>
      </c>
      <c r="E111" s="463"/>
      <c r="F111" s="463"/>
      <c r="G111" s="463"/>
      <c r="H111" s="463"/>
      <c r="I111" s="463" t="s">
        <v>538</v>
      </c>
      <c r="J111" s="463"/>
      <c r="K111" s="463"/>
      <c r="L111" s="463"/>
    </row>
    <row r="112" spans="1:12" x14ac:dyDescent="0.25">
      <c r="A112" s="463" t="s">
        <v>539</v>
      </c>
      <c r="B112" s="463"/>
      <c r="C112" s="170">
        <v>155</v>
      </c>
      <c r="D112" s="463" t="s">
        <v>537</v>
      </c>
      <c r="E112" s="463"/>
      <c r="F112" s="463"/>
      <c r="G112" s="463"/>
      <c r="H112" s="463"/>
      <c r="I112" s="463" t="s">
        <v>540</v>
      </c>
      <c r="J112" s="463"/>
      <c r="K112" s="463"/>
      <c r="L112" s="463"/>
    </row>
    <row r="113" spans="1:12" x14ac:dyDescent="0.25">
      <c r="A113" s="463" t="s">
        <v>541</v>
      </c>
      <c r="B113" s="463"/>
      <c r="C113" s="170">
        <v>655</v>
      </c>
      <c r="D113" s="463" t="s">
        <v>444</v>
      </c>
      <c r="E113" s="463"/>
      <c r="F113" s="463"/>
      <c r="G113" s="463"/>
      <c r="H113" s="463"/>
      <c r="I113" s="463" t="s">
        <v>542</v>
      </c>
      <c r="J113" s="463"/>
      <c r="K113" s="463"/>
      <c r="L113" s="463"/>
    </row>
    <row r="114" spans="1:12" x14ac:dyDescent="0.25">
      <c r="A114" s="463" t="s">
        <v>543</v>
      </c>
      <c r="B114" s="463"/>
      <c r="C114" s="170">
        <v>8</v>
      </c>
      <c r="D114" s="463" t="s">
        <v>544</v>
      </c>
      <c r="E114" s="463"/>
      <c r="F114" s="463"/>
      <c r="G114" s="463"/>
      <c r="H114" s="463"/>
      <c r="I114" s="463" t="s">
        <v>545</v>
      </c>
      <c r="J114" s="463"/>
      <c r="K114" s="463"/>
      <c r="L114" s="463"/>
    </row>
    <row r="115" spans="1:12" x14ac:dyDescent="0.25">
      <c r="A115" s="463" t="s">
        <v>546</v>
      </c>
      <c r="B115" s="463"/>
      <c r="C115" s="170">
        <v>455</v>
      </c>
      <c r="D115" s="463" t="s">
        <v>444</v>
      </c>
      <c r="E115" s="463"/>
      <c r="F115" s="463"/>
      <c r="G115" s="463"/>
      <c r="H115" s="463"/>
      <c r="I115" s="463" t="s">
        <v>547</v>
      </c>
      <c r="J115" s="463"/>
      <c r="K115" s="463"/>
      <c r="L115" s="463"/>
    </row>
    <row r="116" spans="1:12" x14ac:dyDescent="0.25">
      <c r="A116" s="463" t="s">
        <v>548</v>
      </c>
      <c r="B116" s="463" t="s">
        <v>549</v>
      </c>
      <c r="C116" s="170">
        <v>830</v>
      </c>
      <c r="D116" s="463" t="s">
        <v>447</v>
      </c>
      <c r="E116" s="463"/>
      <c r="F116" s="463"/>
      <c r="G116" s="463"/>
      <c r="H116" s="463"/>
      <c r="I116" s="463" t="s">
        <v>550</v>
      </c>
      <c r="J116" s="463"/>
      <c r="K116" s="463"/>
      <c r="L116" s="463"/>
    </row>
    <row r="117" spans="1:12" x14ac:dyDescent="0.25">
      <c r="A117" s="463" t="s">
        <v>551</v>
      </c>
      <c r="B117" s="463" t="s">
        <v>549</v>
      </c>
      <c r="C117" s="170">
        <v>960</v>
      </c>
      <c r="D117" s="463" t="s">
        <v>447</v>
      </c>
      <c r="E117" s="463"/>
      <c r="F117" s="463"/>
      <c r="G117" s="463"/>
      <c r="H117" s="463"/>
      <c r="I117" s="463" t="s">
        <v>552</v>
      </c>
      <c r="J117" s="463"/>
      <c r="K117" s="463"/>
      <c r="L117" s="463"/>
    </row>
    <row r="118" spans="1:12" x14ac:dyDescent="0.25">
      <c r="A118" s="463" t="s">
        <v>553</v>
      </c>
      <c r="B118" s="463" t="s">
        <v>549</v>
      </c>
      <c r="C118" s="170">
        <v>1150</v>
      </c>
      <c r="D118" s="463" t="s">
        <v>447</v>
      </c>
      <c r="E118" s="463"/>
      <c r="F118" s="463"/>
      <c r="G118" s="463"/>
      <c r="H118" s="463"/>
      <c r="I118" s="463" t="s">
        <v>554</v>
      </c>
      <c r="J118" s="463"/>
      <c r="K118" s="463"/>
      <c r="L118" s="463"/>
    </row>
    <row r="119" spans="1:12" x14ac:dyDescent="0.25">
      <c r="A119" s="463" t="s">
        <v>555</v>
      </c>
      <c r="B119" s="463"/>
      <c r="C119" s="463">
        <v>7</v>
      </c>
      <c r="D119" s="463" t="s">
        <v>556</v>
      </c>
      <c r="E119" s="463"/>
      <c r="F119" s="463"/>
      <c r="G119" s="463"/>
      <c r="H119" s="463"/>
      <c r="I119" s="463" t="s">
        <v>557</v>
      </c>
      <c r="J119" s="463"/>
      <c r="K119" s="463"/>
      <c r="L119" s="463"/>
    </row>
    <row r="122" spans="1:12" x14ac:dyDescent="0.25">
      <c r="A122" s="427" t="s">
        <v>782</v>
      </c>
      <c r="B122" s="428"/>
      <c r="C122" s="518"/>
      <c r="D122" s="518"/>
      <c r="E122" s="518"/>
      <c r="F122" s="428"/>
      <c r="G122" s="428"/>
      <c r="H122" s="428"/>
    </row>
    <row r="140" spans="2:4" x14ac:dyDescent="0.25">
      <c r="B140" s="167"/>
      <c r="C140" s="167"/>
      <c r="D140" s="167"/>
    </row>
    <row r="147" spans="2:4" x14ac:dyDescent="0.25">
      <c r="C147" s="275"/>
      <c r="D147" s="18"/>
    </row>
    <row r="148" spans="2:4" x14ac:dyDescent="0.25">
      <c r="C148" s="275"/>
      <c r="D148" s="18"/>
    </row>
    <row r="149" spans="2:4" x14ac:dyDescent="0.25">
      <c r="B149" s="220"/>
      <c r="C149" s="221"/>
      <c r="D149" s="274"/>
    </row>
    <row r="151" spans="2:4" x14ac:dyDescent="0.25">
      <c r="D151" s="222"/>
    </row>
    <row r="166" spans="1:8" x14ac:dyDescent="0.25">
      <c r="A166" s="26" t="s">
        <v>558</v>
      </c>
      <c r="B166" s="30"/>
      <c r="C166" s="30"/>
      <c r="D166" s="651"/>
      <c r="E166" s="30"/>
    </row>
    <row r="167" spans="1:8" ht="17.25" x14ac:dyDescent="0.25">
      <c r="A167" s="653" t="s">
        <v>559</v>
      </c>
      <c r="B167" s="18" t="s">
        <v>560</v>
      </c>
      <c r="C167" s="18" t="s">
        <v>561</v>
      </c>
      <c r="D167" s="18"/>
      <c r="E167" s="1"/>
      <c r="F167" s="2"/>
      <c r="G167" s="2"/>
    </row>
    <row r="168" spans="1:8" x14ac:dyDescent="0.25">
      <c r="A168" s="445"/>
      <c r="B168" s="302">
        <v>11840</v>
      </c>
      <c r="C168" s="303">
        <f>B168/43560</f>
        <v>0.27180899908172634</v>
      </c>
      <c r="E168" s="223"/>
      <c r="F168" s="224"/>
    </row>
    <row r="169" spans="1:8" x14ac:dyDescent="0.25">
      <c r="A169" s="455"/>
      <c r="B169" s="274" t="s">
        <v>562</v>
      </c>
      <c r="C169" s="167"/>
      <c r="D169" s="167"/>
      <c r="E169" s="1"/>
      <c r="G169" s="2"/>
    </row>
    <row r="170" spans="1:8" x14ac:dyDescent="0.25">
      <c r="A170" s="455"/>
      <c r="B170" s="274"/>
      <c r="C170" s="167"/>
      <c r="D170" s="167"/>
      <c r="E170" s="1"/>
      <c r="G170" s="2"/>
    </row>
    <row r="171" spans="1:8" s="73" customFormat="1" ht="17.25" x14ac:dyDescent="0.25">
      <c r="A171" s="653" t="s">
        <v>563</v>
      </c>
      <c r="B171" s="18" t="s">
        <v>564</v>
      </c>
      <c r="C171" s="18" t="s">
        <v>565</v>
      </c>
    </row>
    <row r="172" spans="1:8" x14ac:dyDescent="0.25">
      <c r="A172" s="455"/>
      <c r="B172" s="302">
        <v>750</v>
      </c>
      <c r="C172" s="277">
        <f>B172*1.5</f>
        <v>1125</v>
      </c>
      <c r="H172" s="38"/>
    </row>
    <row r="173" spans="1:8" x14ac:dyDescent="0.25">
      <c r="A173" s="455"/>
      <c r="B173" s="274" t="s">
        <v>566</v>
      </c>
      <c r="C173" s="274" t="s">
        <v>567</v>
      </c>
      <c r="D173" s="167"/>
    </row>
    <row r="174" spans="1:8" x14ac:dyDescent="0.25">
      <c r="A174" s="455"/>
      <c r="B174" s="274"/>
      <c r="C174" s="274"/>
      <c r="D174" s="167"/>
    </row>
    <row r="175" spans="1:8" x14ac:dyDescent="0.25">
      <c r="A175" s="26" t="s">
        <v>568</v>
      </c>
      <c r="B175" s="652"/>
      <c r="C175" s="652"/>
      <c r="D175" s="652"/>
      <c r="E175" s="30"/>
      <c r="H175" s="3"/>
    </row>
    <row r="176" spans="1:8" ht="17.25" x14ac:dyDescent="0.25">
      <c r="A176" s="653" t="s">
        <v>569</v>
      </c>
      <c r="B176" s="18" t="s">
        <v>560</v>
      </c>
      <c r="C176" s="302">
        <v>905</v>
      </c>
      <c r="D176" s="274" t="s">
        <v>562</v>
      </c>
      <c r="G176" s="2"/>
    </row>
    <row r="177" spans="1:9" ht="17.25" x14ac:dyDescent="0.25">
      <c r="A177" s="445"/>
      <c r="B177" s="18" t="s">
        <v>570</v>
      </c>
      <c r="C177" s="277">
        <f>(C176*10)/3</f>
        <v>3016.6666666666665</v>
      </c>
      <c r="D177" s="274" t="s">
        <v>571</v>
      </c>
    </row>
    <row r="178" spans="1:9" ht="17.25" x14ac:dyDescent="0.25">
      <c r="A178" s="455"/>
      <c r="B178" s="18" t="s">
        <v>572</v>
      </c>
      <c r="C178" s="304">
        <f>C177/27</f>
        <v>111.72839506172839</v>
      </c>
      <c r="D178" s="276" t="s">
        <v>573</v>
      </c>
    </row>
    <row r="179" spans="1:9" x14ac:dyDescent="0.25">
      <c r="A179" s="455"/>
      <c r="B179" s="167"/>
      <c r="C179" s="167"/>
      <c r="D179" s="18"/>
      <c r="E179" s="2"/>
      <c r="G179" s="2"/>
    </row>
    <row r="180" spans="1:9" ht="17.25" x14ac:dyDescent="0.25">
      <c r="A180" s="653" t="s">
        <v>574</v>
      </c>
      <c r="B180" s="18" t="s">
        <v>575</v>
      </c>
      <c r="C180" s="302">
        <v>905</v>
      </c>
      <c r="D180" s="277"/>
      <c r="E180" s="226"/>
      <c r="F180" s="73"/>
      <c r="G180" s="73"/>
      <c r="H180" s="73"/>
      <c r="I180" s="73"/>
    </row>
    <row r="181" spans="1:9" x14ac:dyDescent="0.25">
      <c r="A181" s="455"/>
    </row>
    <row r="182" spans="1:9" x14ac:dyDescent="0.25">
      <c r="A182" s="455"/>
    </row>
    <row r="183" spans="1:9" x14ac:dyDescent="0.25">
      <c r="A183" s="455"/>
    </row>
    <row r="187" spans="1:9" x14ac:dyDescent="0.25">
      <c r="A187" s="26" t="s">
        <v>1966</v>
      </c>
      <c r="B187" s="652"/>
      <c r="C187" s="652"/>
      <c r="D187" s="652"/>
      <c r="E187" s="30"/>
    </row>
    <row r="204" spans="2:3" x14ac:dyDescent="0.25">
      <c r="B204" s="167"/>
      <c r="C204" s="167"/>
    </row>
    <row r="205" spans="2:3" x14ac:dyDescent="0.25">
      <c r="B205" s="167"/>
      <c r="C205" s="167"/>
    </row>
    <row r="229" spans="1:8" x14ac:dyDescent="0.25">
      <c r="A229" s="468" t="s">
        <v>576</v>
      </c>
      <c r="B229" s="469" t="s">
        <v>577</v>
      </c>
      <c r="C229" s="306"/>
      <c r="D229" s="2" t="s">
        <v>578</v>
      </c>
    </row>
    <row r="230" spans="1:8" x14ac:dyDescent="0.25">
      <c r="A230" s="307" t="s">
        <v>579</v>
      </c>
      <c r="B230" s="1"/>
      <c r="C230" s="308"/>
      <c r="D230" s="2">
        <f>SUM(B231:B235)</f>
        <v>22420</v>
      </c>
      <c r="F230" s="18"/>
      <c r="G230" s="18"/>
    </row>
    <row r="231" spans="1:8" x14ac:dyDescent="0.25">
      <c r="A231" s="309" t="s">
        <v>580</v>
      </c>
      <c r="B231" s="1">
        <v>11040</v>
      </c>
      <c r="C231" s="308" t="s">
        <v>581</v>
      </c>
      <c r="E231" s="18"/>
      <c r="F231" s="18"/>
      <c r="G231" s="18"/>
    </row>
    <row r="232" spans="1:8" x14ac:dyDescent="0.25">
      <c r="A232" s="241"/>
      <c r="B232" s="1">
        <v>8980</v>
      </c>
      <c r="C232" s="308" t="s">
        <v>581</v>
      </c>
      <c r="F232" s="3"/>
      <c r="H232" s="73"/>
    </row>
    <row r="233" spans="1:8" x14ac:dyDescent="0.25">
      <c r="A233" s="307" t="s">
        <v>582</v>
      </c>
      <c r="B233" s="1">
        <v>800</v>
      </c>
      <c r="C233" s="308" t="s">
        <v>581</v>
      </c>
    </row>
    <row r="234" spans="1:8" x14ac:dyDescent="0.25">
      <c r="A234" s="309" t="s">
        <v>583</v>
      </c>
      <c r="B234" s="1">
        <v>800</v>
      </c>
      <c r="C234" s="308" t="s">
        <v>581</v>
      </c>
    </row>
    <row r="235" spans="1:8" x14ac:dyDescent="0.25">
      <c r="A235" s="241"/>
      <c r="B235" s="1">
        <v>800</v>
      </c>
      <c r="C235" s="308" t="s">
        <v>581</v>
      </c>
    </row>
    <row r="236" spans="1:8" x14ac:dyDescent="0.25">
      <c r="A236" s="12" t="s">
        <v>584</v>
      </c>
      <c r="B236" s="1"/>
      <c r="C236" s="308"/>
      <c r="D236" s="2" t="s">
        <v>578</v>
      </c>
    </row>
    <row r="237" spans="1:8" s="1" customFormat="1" x14ac:dyDescent="0.25">
      <c r="A237" s="307" t="s">
        <v>585</v>
      </c>
      <c r="C237" s="308"/>
      <c r="D237" s="2">
        <f>SUM(B238:B264)</f>
        <v>16665</v>
      </c>
    </row>
    <row r="238" spans="1:8" x14ac:dyDescent="0.25">
      <c r="A238" s="309" t="s">
        <v>586</v>
      </c>
      <c r="B238" s="1">
        <v>5650</v>
      </c>
      <c r="C238" s="308" t="s">
        <v>581</v>
      </c>
    </row>
    <row r="239" spans="1:8" x14ac:dyDescent="0.25">
      <c r="A239" s="310"/>
      <c r="B239" s="1">
        <v>300</v>
      </c>
      <c r="C239" s="308" t="s">
        <v>581</v>
      </c>
    </row>
    <row r="240" spans="1:8" x14ac:dyDescent="0.25">
      <c r="A240" s="309" t="s">
        <v>587</v>
      </c>
      <c r="B240" s="1">
        <v>460</v>
      </c>
      <c r="C240" s="308" t="s">
        <v>581</v>
      </c>
    </row>
    <row r="241" spans="1:3" x14ac:dyDescent="0.25">
      <c r="A241" s="241"/>
      <c r="B241" s="1">
        <v>460</v>
      </c>
      <c r="C241" s="308" t="s">
        <v>581</v>
      </c>
    </row>
    <row r="242" spans="1:3" x14ac:dyDescent="0.25">
      <c r="A242" s="241"/>
      <c r="B242" s="1">
        <v>110</v>
      </c>
      <c r="C242" s="308" t="s">
        <v>581</v>
      </c>
    </row>
    <row r="243" spans="1:3" x14ac:dyDescent="0.25">
      <c r="A243" s="241"/>
      <c r="B243" s="1">
        <v>120</v>
      </c>
      <c r="C243" s="308" t="s">
        <v>581</v>
      </c>
    </row>
    <row r="244" spans="1:3" x14ac:dyDescent="0.25">
      <c r="A244" s="241"/>
      <c r="B244" s="1">
        <v>260</v>
      </c>
      <c r="C244" s="308" t="s">
        <v>581</v>
      </c>
    </row>
    <row r="245" spans="1:3" x14ac:dyDescent="0.25">
      <c r="A245" s="241"/>
      <c r="B245" s="1">
        <v>260</v>
      </c>
      <c r="C245" s="308" t="s">
        <v>581</v>
      </c>
    </row>
    <row r="246" spans="1:3" x14ac:dyDescent="0.25">
      <c r="A246" s="241"/>
      <c r="B246" s="1">
        <v>330</v>
      </c>
      <c r="C246" s="308" t="s">
        <v>581</v>
      </c>
    </row>
    <row r="247" spans="1:3" x14ac:dyDescent="0.25">
      <c r="A247" s="241"/>
      <c r="B247" s="1">
        <v>290</v>
      </c>
      <c r="C247" s="308" t="s">
        <v>581</v>
      </c>
    </row>
    <row r="248" spans="1:3" x14ac:dyDescent="0.25">
      <c r="A248" s="241"/>
      <c r="B248" s="1">
        <v>420</v>
      </c>
      <c r="C248" s="308" t="s">
        <v>581</v>
      </c>
    </row>
    <row r="249" spans="1:3" x14ac:dyDescent="0.25">
      <c r="A249" s="241"/>
      <c r="B249" s="1">
        <v>640</v>
      </c>
      <c r="C249" s="308" t="s">
        <v>581</v>
      </c>
    </row>
    <row r="250" spans="1:3" x14ac:dyDescent="0.25">
      <c r="A250" s="241"/>
      <c r="B250" s="1">
        <v>600</v>
      </c>
      <c r="C250" s="308" t="s">
        <v>581</v>
      </c>
    </row>
    <row r="251" spans="1:3" x14ac:dyDescent="0.25">
      <c r="A251" s="241"/>
      <c r="B251" s="1">
        <v>200</v>
      </c>
      <c r="C251" s="308" t="s">
        <v>581</v>
      </c>
    </row>
    <row r="252" spans="1:3" x14ac:dyDescent="0.25">
      <c r="A252" s="241"/>
      <c r="B252" s="1">
        <v>120</v>
      </c>
      <c r="C252" s="308" t="s">
        <v>581</v>
      </c>
    </row>
    <row r="253" spans="1:3" x14ac:dyDescent="0.25">
      <c r="A253" s="307" t="s">
        <v>579</v>
      </c>
      <c r="B253" s="1"/>
      <c r="C253" s="308"/>
    </row>
    <row r="254" spans="1:3" x14ac:dyDescent="0.25">
      <c r="A254" s="309" t="s">
        <v>588</v>
      </c>
      <c r="B254" s="1">
        <v>2820</v>
      </c>
      <c r="C254" s="308" t="s">
        <v>581</v>
      </c>
    </row>
    <row r="255" spans="1:3" x14ac:dyDescent="0.25">
      <c r="A255" s="309" t="s">
        <v>587</v>
      </c>
      <c r="B255" s="1">
        <v>50</v>
      </c>
      <c r="C255" s="308" t="s">
        <v>581</v>
      </c>
    </row>
    <row r="256" spans="1:3" x14ac:dyDescent="0.25">
      <c r="A256" s="241"/>
      <c r="B256" s="1">
        <v>80</v>
      </c>
      <c r="C256" s="308" t="s">
        <v>581</v>
      </c>
    </row>
    <row r="257" spans="1:6" x14ac:dyDescent="0.25">
      <c r="A257" s="241"/>
      <c r="B257" s="1">
        <v>110</v>
      </c>
      <c r="C257" s="308" t="s">
        <v>581</v>
      </c>
    </row>
    <row r="258" spans="1:6" x14ac:dyDescent="0.25">
      <c r="A258" s="241"/>
      <c r="B258" s="1">
        <v>75</v>
      </c>
      <c r="C258" s="308" t="s">
        <v>581</v>
      </c>
    </row>
    <row r="259" spans="1:6" x14ac:dyDescent="0.25">
      <c r="A259" s="241"/>
      <c r="B259" s="1">
        <v>50</v>
      </c>
      <c r="C259" s="308" t="s">
        <v>581</v>
      </c>
    </row>
    <row r="260" spans="1:6" x14ac:dyDescent="0.25">
      <c r="A260" s="241"/>
      <c r="B260" s="1">
        <v>60</v>
      </c>
      <c r="C260" s="308" t="s">
        <v>581</v>
      </c>
    </row>
    <row r="261" spans="1:6" x14ac:dyDescent="0.25">
      <c r="A261" s="307" t="s">
        <v>582</v>
      </c>
      <c r="B261" s="1">
        <v>800</v>
      </c>
      <c r="C261" s="308" t="s">
        <v>581</v>
      </c>
    </row>
    <row r="262" spans="1:6" x14ac:dyDescent="0.25">
      <c r="A262" s="309" t="s">
        <v>589</v>
      </c>
      <c r="B262" s="1">
        <v>800</v>
      </c>
      <c r="C262" s="308" t="s">
        <v>581</v>
      </c>
    </row>
    <row r="263" spans="1:6" x14ac:dyDescent="0.25">
      <c r="A263" s="241"/>
      <c r="B263" s="1">
        <v>800</v>
      </c>
      <c r="C263" s="308" t="s">
        <v>581</v>
      </c>
    </row>
    <row r="264" spans="1:6" x14ac:dyDescent="0.25">
      <c r="A264" s="242"/>
      <c r="B264" s="186">
        <v>800</v>
      </c>
      <c r="C264" s="311" t="s">
        <v>581</v>
      </c>
    </row>
    <row r="268" spans="1:6" x14ac:dyDescent="0.25">
      <c r="A268" s="26" t="s">
        <v>2032</v>
      </c>
      <c r="B268" s="652"/>
      <c r="C268" s="652"/>
      <c r="D268" s="652"/>
      <c r="E268" s="30"/>
    </row>
    <row r="269" spans="1:6" x14ac:dyDescent="0.25">
      <c r="B269" s="1"/>
      <c r="D269" s="3"/>
      <c r="F269" s="305"/>
    </row>
    <row r="270" spans="1:6" x14ac:dyDescent="0.25">
      <c r="A270" t="s">
        <v>2035</v>
      </c>
    </row>
    <row r="271" spans="1:6" x14ac:dyDescent="0.25">
      <c r="A271" t="s">
        <v>2036</v>
      </c>
    </row>
  </sheetData>
  <mergeCells count="12">
    <mergeCell ref="K31:L31"/>
    <mergeCell ref="K47:L47"/>
    <mergeCell ref="A108:A110"/>
    <mergeCell ref="A1:F1"/>
    <mergeCell ref="A2:F2"/>
    <mergeCell ref="A3:F3"/>
    <mergeCell ref="A4:F4"/>
    <mergeCell ref="C8:D8"/>
    <mergeCell ref="E8:F8"/>
    <mergeCell ref="A6:G6"/>
    <mergeCell ref="A70:C70"/>
    <mergeCell ref="A104:A105"/>
  </mergeCells>
  <phoneticPr fontId="15" type="noConversion"/>
  <hyperlinks>
    <hyperlink ref="D178" r:id="rId1" xr:uid="{D156C6F2-11C6-40CF-8F06-EB41209E7F8F}"/>
  </hyperlinks>
  <printOptions gridLines="1"/>
  <pageMargins left="0.25" right="0.25" top="0.75" bottom="0.75" header="0.3" footer="0.3"/>
  <pageSetup scale="55" fitToHeight="0"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095AA-594B-4B57-85CB-3B2231B4127D}">
  <sheetPr codeName="Sheet8">
    <tabColor rgb="FFFFFF00"/>
    <pageSetUpPr fitToPage="1"/>
  </sheetPr>
  <dimension ref="A1:W986"/>
  <sheetViews>
    <sheetView zoomScale="55" zoomScaleNormal="55" workbookViewId="0">
      <selection activeCell="B68" sqref="B68"/>
    </sheetView>
  </sheetViews>
  <sheetFormatPr defaultRowHeight="15" x14ac:dyDescent="0.25"/>
  <cols>
    <col min="1" max="1" width="53.5703125" customWidth="1"/>
    <col min="2" max="2" width="50.42578125" customWidth="1"/>
    <col min="3" max="3" width="21.140625" style="1" customWidth="1"/>
    <col min="4" max="5" width="22.42578125" style="1" bestFit="1" customWidth="1"/>
    <col min="6" max="6" width="17.7109375" customWidth="1"/>
    <col min="7" max="7" width="14.28515625" customWidth="1"/>
    <col min="8" max="8" width="14.5703125" customWidth="1"/>
    <col min="9" max="9" width="17.5703125" customWidth="1"/>
    <col min="10" max="10" width="15.7109375" customWidth="1"/>
    <col min="11" max="11" width="16.28515625" customWidth="1"/>
    <col min="12" max="12" width="14.28515625" bestFit="1" customWidth="1"/>
    <col min="13" max="13" width="11.5703125" customWidth="1"/>
    <col min="14" max="14" width="13.7109375" bestFit="1" customWidth="1"/>
    <col min="15" max="15" width="18.28515625" customWidth="1"/>
    <col min="16" max="16" width="18.5703125" customWidth="1"/>
    <col min="17" max="17" width="22.28515625" bestFit="1" customWidth="1"/>
    <col min="18" max="18" width="27.85546875" customWidth="1"/>
    <col min="19" max="19" width="24" customWidth="1"/>
    <col min="20" max="20" width="24.7109375" bestFit="1" customWidth="1"/>
    <col min="21" max="21" width="26" customWidth="1"/>
    <col min="22" max="22" width="36.5703125" customWidth="1"/>
  </cols>
  <sheetData>
    <row r="1" spans="1:23" ht="15.75" x14ac:dyDescent="0.25">
      <c r="A1" s="926" t="str">
        <f>Description!A1</f>
        <v>Montana Resources, LLC</v>
      </c>
      <c r="B1" s="926"/>
      <c r="C1" s="926"/>
      <c r="D1" s="926"/>
      <c r="E1" s="926"/>
    </row>
    <row r="2" spans="1:23" ht="15.75" x14ac:dyDescent="0.25">
      <c r="A2" s="926" t="str">
        <f>Description!A2</f>
        <v>Operating Permit #00030</v>
      </c>
      <c r="B2" s="926"/>
      <c r="C2" s="926"/>
      <c r="D2" s="926"/>
      <c r="E2" s="926"/>
    </row>
    <row r="3" spans="1:23" ht="15.75" x14ac:dyDescent="0.25">
      <c r="A3" s="926" t="str">
        <f>Description!A3</f>
        <v>Final Comprehensive 5-Year Bond Review</v>
      </c>
      <c r="B3" s="926"/>
      <c r="C3" s="926"/>
      <c r="D3" s="926"/>
      <c r="E3" s="926"/>
    </row>
    <row r="4" spans="1:23" ht="15.75" x14ac:dyDescent="0.25">
      <c r="A4" s="925">
        <f>Description!A4</f>
        <v>46146</v>
      </c>
      <c r="B4" s="925"/>
      <c r="C4" s="925"/>
      <c r="D4" s="925"/>
      <c r="E4" s="925"/>
    </row>
    <row r="5" spans="1:23" x14ac:dyDescent="0.25">
      <c r="F5" s="1"/>
      <c r="G5" s="1"/>
      <c r="H5" s="1"/>
      <c r="I5" s="1"/>
      <c r="J5" s="1"/>
      <c r="K5" s="1"/>
      <c r="L5" s="1"/>
      <c r="M5" s="1"/>
    </row>
    <row r="6" spans="1:23" ht="15.75" x14ac:dyDescent="0.25">
      <c r="A6" s="914" t="s">
        <v>243</v>
      </c>
      <c r="B6" s="914"/>
      <c r="C6" s="914"/>
      <c r="D6" s="914"/>
      <c r="E6" s="914"/>
      <c r="F6" s="914"/>
      <c r="G6" s="914"/>
      <c r="H6" s="914"/>
      <c r="I6" s="914"/>
      <c r="J6" s="914"/>
      <c r="K6" s="914"/>
      <c r="L6" s="914"/>
      <c r="M6" s="914"/>
      <c r="N6" s="914"/>
      <c r="O6" s="914"/>
      <c r="P6" s="914"/>
      <c r="Q6" s="914"/>
      <c r="R6" s="914"/>
      <c r="S6" s="914"/>
      <c r="T6" s="698"/>
    </row>
    <row r="7" spans="1:23" x14ac:dyDescent="0.25">
      <c r="A7" s="3"/>
      <c r="B7" s="3"/>
      <c r="C7" s="3"/>
      <c r="D7" s="3"/>
      <c r="E7" s="3"/>
      <c r="K7" s="3" t="s">
        <v>590</v>
      </c>
    </row>
    <row r="8" spans="1:23" x14ac:dyDescent="0.25">
      <c r="A8" s="3"/>
      <c r="B8" s="3"/>
      <c r="C8" s="961" t="s">
        <v>591</v>
      </c>
      <c r="D8" s="962"/>
      <c r="E8" s="963"/>
      <c r="F8" s="1"/>
      <c r="G8" s="1"/>
      <c r="H8" s="1"/>
      <c r="I8" s="1"/>
      <c r="J8" s="1"/>
      <c r="K8" s="1"/>
      <c r="L8" s="1"/>
      <c r="M8" s="1"/>
      <c r="V8" s="3"/>
    </row>
    <row r="9" spans="1:23" s="3" customFormat="1" x14ac:dyDescent="0.25">
      <c r="A9" s="464" t="s">
        <v>592</v>
      </c>
      <c r="B9" s="464" t="s">
        <v>593</v>
      </c>
      <c r="C9" s="466" t="s">
        <v>593</v>
      </c>
      <c r="D9" s="466" t="s">
        <v>594</v>
      </c>
      <c r="E9" s="97" t="s">
        <v>143</v>
      </c>
      <c r="F9" s="464" t="s">
        <v>595</v>
      </c>
      <c r="G9" s="958" t="s">
        <v>596</v>
      </c>
      <c r="H9" s="958"/>
      <c r="I9" s="958" t="s">
        <v>597</v>
      </c>
      <c r="J9" s="958"/>
      <c r="K9" s="958" t="s">
        <v>598</v>
      </c>
      <c r="L9" s="958"/>
      <c r="M9" s="959" t="s">
        <v>599</v>
      </c>
      <c r="N9" s="960"/>
      <c r="O9" s="964" t="s">
        <v>600</v>
      </c>
      <c r="P9" s="958"/>
      <c r="Q9" s="958" t="s">
        <v>601</v>
      </c>
      <c r="R9" s="958"/>
      <c r="S9" s="9" t="s">
        <v>602</v>
      </c>
      <c r="T9" s="9"/>
      <c r="U9" s="464" t="s">
        <v>240</v>
      </c>
      <c r="W9" s="45"/>
    </row>
    <row r="10" spans="1:23" x14ac:dyDescent="0.25">
      <c r="A10" s="3"/>
      <c r="B10" s="3"/>
      <c r="C10" s="12"/>
      <c r="D10" s="2"/>
      <c r="E10" s="13"/>
      <c r="F10" s="3"/>
      <c r="G10" s="3"/>
      <c r="H10" s="3"/>
      <c r="M10" s="24"/>
      <c r="N10" s="25"/>
    </row>
    <row r="11" spans="1:23" x14ac:dyDescent="0.25">
      <c r="A11" s="50" t="s">
        <v>603</v>
      </c>
      <c r="B11" s="50"/>
      <c r="C11" s="55"/>
      <c r="D11" s="48"/>
      <c r="E11" s="54"/>
      <c r="F11" s="50"/>
      <c r="G11" s="50"/>
      <c r="H11" s="50"/>
      <c r="I11" s="49"/>
      <c r="J11" s="49"/>
      <c r="K11" s="49"/>
      <c r="L11" s="49"/>
      <c r="M11" s="55"/>
      <c r="N11" s="56"/>
      <c r="O11" s="49"/>
      <c r="P11" s="49"/>
      <c r="Q11" s="49"/>
      <c r="R11" s="49"/>
      <c r="S11" s="49"/>
      <c r="T11" s="15" t="s">
        <v>2044</v>
      </c>
    </row>
    <row r="12" spans="1:23" x14ac:dyDescent="0.25">
      <c r="A12" s="375" t="s">
        <v>604</v>
      </c>
      <c r="B12" s="429"/>
      <c r="C12" s="108"/>
      <c r="D12" s="118"/>
      <c r="E12" s="119"/>
      <c r="F12" s="98"/>
      <c r="G12" s="79"/>
      <c r="H12" s="79"/>
      <c r="I12" s="30"/>
      <c r="J12" s="30"/>
      <c r="K12" s="30"/>
      <c r="L12" s="30"/>
      <c r="M12" s="58"/>
      <c r="N12" s="59"/>
      <c r="O12" s="165"/>
      <c r="P12" s="30"/>
      <c r="Q12" s="42"/>
      <c r="R12" s="30"/>
      <c r="S12" s="30"/>
      <c r="T12" s="21"/>
      <c r="U12" s="73" t="s">
        <v>605</v>
      </c>
    </row>
    <row r="13" spans="1:23" x14ac:dyDescent="0.25">
      <c r="A13" s="454" t="s">
        <v>606</v>
      </c>
      <c r="B13" t="s">
        <v>607</v>
      </c>
      <c r="C13" s="431">
        <f>$A$179</f>
        <v>0.83</v>
      </c>
      <c r="D13" s="114">
        <v>0.9</v>
      </c>
      <c r="E13" s="115">
        <v>0.95</v>
      </c>
      <c r="F13" s="89">
        <f t="shared" ref="F13:F19" si="0">C13*D13*E13</f>
        <v>0.70965</v>
      </c>
      <c r="G13" s="229">
        <f t="shared" ref="G13:G19" si="1">$B$260</f>
        <v>0.58080808080808077</v>
      </c>
      <c r="H13" s="230" t="s">
        <v>608</v>
      </c>
      <c r="I13" s="90">
        <f>G13*F13</f>
        <v>0.41217045454545453</v>
      </c>
      <c r="J13" s="21" t="s">
        <v>608</v>
      </c>
      <c r="K13" s="92">
        <f>'AcreageTracking-MAP'!G101</f>
        <v>31.490320300314202</v>
      </c>
      <c r="L13" s="23" t="s">
        <v>366</v>
      </c>
      <c r="M13" s="60">
        <f t="shared" ref="M13:M19" si="2">K13/I13</f>
        <v>76.401207202107742</v>
      </c>
      <c r="N13" s="10" t="s">
        <v>446</v>
      </c>
      <c r="O13" s="164">
        <f>'Equipment Rates 2025'!$E$10</f>
        <v>312.43</v>
      </c>
      <c r="P13" s="35" t="s">
        <v>537</v>
      </c>
      <c r="Q13" s="4">
        <f>'Labor Rates 2025'!$E$12</f>
        <v>48.03</v>
      </c>
      <c r="R13" t="s">
        <v>537</v>
      </c>
      <c r="S13" s="305">
        <f t="shared" ref="S13:S19" si="3">(O13+Q13)*M13</f>
        <v>27539.57914807176</v>
      </c>
      <c r="T13" s="758">
        <v>31800.601205340638</v>
      </c>
      <c r="U13" t="s">
        <v>609</v>
      </c>
    </row>
    <row r="14" spans="1:23" x14ac:dyDescent="0.25">
      <c r="A14" s="454" t="s">
        <v>295</v>
      </c>
      <c r="B14" t="s">
        <v>607</v>
      </c>
      <c r="C14" s="431">
        <f t="shared" ref="C14:C19" si="4">$A$179</f>
        <v>0.83</v>
      </c>
      <c r="D14" s="114">
        <v>0.9</v>
      </c>
      <c r="E14" s="115">
        <v>0.95</v>
      </c>
      <c r="F14" s="89">
        <f t="shared" si="0"/>
        <v>0.70965</v>
      </c>
      <c r="G14" s="229">
        <f t="shared" si="1"/>
        <v>0.58080808080808077</v>
      </c>
      <c r="H14" s="230" t="s">
        <v>608</v>
      </c>
      <c r="I14" s="90">
        <f t="shared" ref="I14:I19" si="5">G14*F14</f>
        <v>0.41217045454545453</v>
      </c>
      <c r="J14" s="21" t="s">
        <v>608</v>
      </c>
      <c r="K14" s="92">
        <f>'AcreageTracking-MAP'!G56</f>
        <v>42.621349138958863</v>
      </c>
      <c r="L14" s="23" t="s">
        <v>366</v>
      </c>
      <c r="M14" s="60">
        <f t="shared" si="2"/>
        <v>103.40709448949244</v>
      </c>
      <c r="N14" s="10" t="s">
        <v>446</v>
      </c>
      <c r="O14" s="164">
        <f>'Equipment Rates 2025'!$E$10</f>
        <v>312.43</v>
      </c>
      <c r="P14" s="35" t="s">
        <v>537</v>
      </c>
      <c r="Q14" s="4">
        <f>'Labor Rates 2025'!$E$12</f>
        <v>48.03</v>
      </c>
      <c r="R14" t="s">
        <v>537</v>
      </c>
      <c r="S14" s="305">
        <f t="shared" si="3"/>
        <v>37274.121279682447</v>
      </c>
      <c r="T14" s="758">
        <v>23285.581876724536</v>
      </c>
      <c r="U14" s="38"/>
    </row>
    <row r="15" spans="1:23" x14ac:dyDescent="0.25">
      <c r="A15" s="454" t="s">
        <v>300</v>
      </c>
      <c r="B15" t="s">
        <v>607</v>
      </c>
      <c r="C15" s="431">
        <f t="shared" si="4"/>
        <v>0.83</v>
      </c>
      <c r="D15" s="114">
        <v>0.9</v>
      </c>
      <c r="E15" s="115">
        <v>0.95</v>
      </c>
      <c r="F15" s="89">
        <f t="shared" si="0"/>
        <v>0.70965</v>
      </c>
      <c r="G15" s="229">
        <f t="shared" si="1"/>
        <v>0.58080808080808077</v>
      </c>
      <c r="H15" s="230" t="s">
        <v>608</v>
      </c>
      <c r="I15" s="90">
        <f t="shared" si="5"/>
        <v>0.41217045454545453</v>
      </c>
      <c r="J15" s="21" t="s">
        <v>608</v>
      </c>
      <c r="K15" s="92">
        <f>'AcreageTracking-MAP'!G57</f>
        <v>5.8198192688103072</v>
      </c>
      <c r="L15" s="23" t="s">
        <v>366</v>
      </c>
      <c r="M15" s="60">
        <f t="shared" si="2"/>
        <v>14.119933160246672</v>
      </c>
      <c r="N15" s="10" t="s">
        <v>446</v>
      </c>
      <c r="O15" s="164">
        <f>'Equipment Rates 2025'!$E$10</f>
        <v>312.43</v>
      </c>
      <c r="P15" s="35" t="s">
        <v>537</v>
      </c>
      <c r="Q15" s="4">
        <f>'Labor Rates 2025'!$E$12</f>
        <v>48.03</v>
      </c>
      <c r="R15" t="s">
        <v>537</v>
      </c>
      <c r="S15" s="305">
        <f t="shared" si="3"/>
        <v>5089.6711069425164</v>
      </c>
      <c r="T15" s="758">
        <v>4983.3998902759777</v>
      </c>
      <c r="U15" s="38"/>
    </row>
    <row r="16" spans="1:23" x14ac:dyDescent="0.25">
      <c r="A16" s="454" t="s">
        <v>304</v>
      </c>
      <c r="B16" t="s">
        <v>607</v>
      </c>
      <c r="C16" s="431">
        <f t="shared" si="4"/>
        <v>0.83</v>
      </c>
      <c r="D16" s="114">
        <v>0.9</v>
      </c>
      <c r="E16" s="115">
        <v>0.95</v>
      </c>
      <c r="F16" s="89">
        <f t="shared" si="0"/>
        <v>0.70965</v>
      </c>
      <c r="G16" s="229">
        <f t="shared" si="1"/>
        <v>0.58080808080808077</v>
      </c>
      <c r="H16" s="230" t="s">
        <v>608</v>
      </c>
      <c r="I16" s="90">
        <f t="shared" si="5"/>
        <v>0.41217045454545453</v>
      </c>
      <c r="J16" s="21" t="s">
        <v>608</v>
      </c>
      <c r="K16" s="92">
        <f>'AcreageTracking-MAP'!G58</f>
        <v>67.377730871138837</v>
      </c>
      <c r="L16" s="871" t="s">
        <v>366</v>
      </c>
      <c r="M16" s="60">
        <f t="shared" si="2"/>
        <v>163.47054993411314</v>
      </c>
      <c r="N16" s="10" t="s">
        <v>446</v>
      </c>
      <c r="O16" s="164">
        <f>'Equipment Rates 2025'!$E$10</f>
        <v>312.43</v>
      </c>
      <c r="P16" s="35" t="s">
        <v>537</v>
      </c>
      <c r="Q16" s="166">
        <f>'Labor Rates 2025'!$E$12</f>
        <v>48.03</v>
      </c>
      <c r="R16" t="s">
        <v>537</v>
      </c>
      <c r="S16" s="305">
        <f t="shared" si="3"/>
        <v>58924.594429250428</v>
      </c>
      <c r="T16" s="758">
        <v>60318.783488809459</v>
      </c>
      <c r="U16" s="38"/>
    </row>
    <row r="17" spans="1:22" x14ac:dyDescent="0.25">
      <c r="A17" s="454" t="s">
        <v>325</v>
      </c>
      <c r="B17" t="s">
        <v>610</v>
      </c>
      <c r="C17" s="431">
        <f t="shared" si="4"/>
        <v>0.83</v>
      </c>
      <c r="D17" s="114">
        <v>0.9</v>
      </c>
      <c r="E17" s="115">
        <v>0.95</v>
      </c>
      <c r="F17" s="89">
        <f t="shared" si="0"/>
        <v>0.70965</v>
      </c>
      <c r="G17" s="229">
        <f>$B$260*2</f>
        <v>1.1616161616161615</v>
      </c>
      <c r="H17" s="230" t="s">
        <v>608</v>
      </c>
      <c r="I17" s="90">
        <f>G17*F17*2</f>
        <v>1.6486818181818181</v>
      </c>
      <c r="J17" s="21" t="s">
        <v>608</v>
      </c>
      <c r="K17" s="92">
        <f>'AcreageTracking-MAP'!G15</f>
        <v>210.48498806471477</v>
      </c>
      <c r="L17" s="871" t="s">
        <v>366</v>
      </c>
      <c r="M17" s="60">
        <f t="shared" si="2"/>
        <v>127.66865367438794</v>
      </c>
      <c r="N17" s="10" t="s">
        <v>446</v>
      </c>
      <c r="O17" s="164">
        <f>'Equipment Rates 2025'!$E$10*2</f>
        <v>624.86</v>
      </c>
      <c r="P17" s="35" t="s">
        <v>537</v>
      </c>
      <c r="Q17" s="166">
        <f>'Labor Rates 2025'!$E$12*2</f>
        <v>96.06</v>
      </c>
      <c r="R17" t="s">
        <v>537</v>
      </c>
      <c r="S17" s="305">
        <f t="shared" si="3"/>
        <v>92038.885806939768</v>
      </c>
      <c r="T17" s="758">
        <v>317883.93985039409</v>
      </c>
      <c r="U17" t="s">
        <v>2042</v>
      </c>
    </row>
    <row r="18" spans="1:22" x14ac:dyDescent="0.25">
      <c r="A18" s="454" t="s">
        <v>326</v>
      </c>
      <c r="B18" t="s">
        <v>607</v>
      </c>
      <c r="C18" s="431">
        <f t="shared" si="4"/>
        <v>0.83</v>
      </c>
      <c r="D18" s="114">
        <v>0.9</v>
      </c>
      <c r="E18" s="115">
        <v>0.95</v>
      </c>
      <c r="F18" s="89">
        <f t="shared" si="0"/>
        <v>0.70965</v>
      </c>
      <c r="G18" s="229">
        <f t="shared" si="1"/>
        <v>0.58080808080808077</v>
      </c>
      <c r="H18" s="230" t="s">
        <v>608</v>
      </c>
      <c r="I18" s="90">
        <f t="shared" si="5"/>
        <v>0.41217045454545453</v>
      </c>
      <c r="J18" s="21" t="s">
        <v>608</v>
      </c>
      <c r="K18" s="92">
        <f>'AcreageTracking-MAP'!G9+'AcreageTracking-MAP'!G54</f>
        <v>42.469206036971649</v>
      </c>
      <c r="L18" s="871" t="s">
        <v>366</v>
      </c>
      <c r="M18" s="60">
        <f t="shared" si="2"/>
        <v>103.03796783252474</v>
      </c>
      <c r="N18" s="10" t="s">
        <v>446</v>
      </c>
      <c r="O18" s="164">
        <f>'Equipment Rates 2025'!$E$10</f>
        <v>312.43</v>
      </c>
      <c r="P18" s="35" t="s">
        <v>537</v>
      </c>
      <c r="Q18" s="166">
        <f>'Labor Rates 2025'!$E$12</f>
        <v>48.03</v>
      </c>
      <c r="R18" t="s">
        <v>537</v>
      </c>
      <c r="S18" s="305">
        <f t="shared" si="3"/>
        <v>37141.06588491187</v>
      </c>
      <c r="T18" s="758">
        <v>37141.067678778578</v>
      </c>
    </row>
    <row r="19" spans="1:22" x14ac:dyDescent="0.25">
      <c r="A19" s="454" t="s">
        <v>611</v>
      </c>
      <c r="B19" s="73" t="s">
        <v>607</v>
      </c>
      <c r="C19" s="431">
        <f t="shared" si="4"/>
        <v>0.83</v>
      </c>
      <c r="D19" s="114">
        <v>0.9</v>
      </c>
      <c r="E19" s="115">
        <v>0.95</v>
      </c>
      <c r="F19" s="89">
        <f t="shared" si="0"/>
        <v>0.70965</v>
      </c>
      <c r="G19" s="229">
        <f t="shared" si="1"/>
        <v>0.58080808080808077</v>
      </c>
      <c r="H19" s="230" t="s">
        <v>608</v>
      </c>
      <c r="I19" s="90">
        <f t="shared" si="5"/>
        <v>0.41217045454545453</v>
      </c>
      <c r="J19" s="21" t="s">
        <v>608</v>
      </c>
      <c r="K19" s="92">
        <f>'AcreageTracking-MAP'!G17</f>
        <v>58.646649350903132</v>
      </c>
      <c r="L19" s="23" t="s">
        <v>366</v>
      </c>
      <c r="M19" s="60">
        <f t="shared" si="2"/>
        <v>142.28736850044046</v>
      </c>
      <c r="N19" s="10" t="s">
        <v>446</v>
      </c>
      <c r="O19" s="164">
        <f>'Equipment Rates 2025'!$E$10</f>
        <v>312.43</v>
      </c>
      <c r="P19" s="35" t="s">
        <v>537</v>
      </c>
      <c r="Q19" s="4">
        <f>'Labor Rates 2025'!$E$12</f>
        <v>48.03</v>
      </c>
      <c r="R19" t="s">
        <v>537</v>
      </c>
      <c r="S19" s="305">
        <f t="shared" si="3"/>
        <v>51288.904849668776</v>
      </c>
      <c r="T19" s="758">
        <v>51597.924512696103</v>
      </c>
    </row>
    <row r="20" spans="1:22" x14ac:dyDescent="0.25">
      <c r="A20" s="460" t="s">
        <v>2016</v>
      </c>
      <c r="B20" s="73" t="s">
        <v>613</v>
      </c>
      <c r="C20" s="106">
        <f>$A$179</f>
        <v>0.83</v>
      </c>
      <c r="D20" s="114">
        <v>0.9</v>
      </c>
      <c r="E20" s="115">
        <v>0.75</v>
      </c>
      <c r="F20" s="89">
        <f t="shared" ref="F20:F21" si="6">C20*D20*E20</f>
        <v>0.56025000000000003</v>
      </c>
      <c r="G20" s="609">
        <f>$B$243</f>
        <v>0.46487603305785125</v>
      </c>
      <c r="H20" s="230" t="s">
        <v>608</v>
      </c>
      <c r="I20" s="11">
        <f t="shared" ref="I20:I21" si="7">G20*F20</f>
        <v>0.26044679752066119</v>
      </c>
      <c r="J20" s="21" t="s">
        <v>608</v>
      </c>
      <c r="K20" s="92">
        <f>'AcreageTracking-MAP'!G28</f>
        <v>0.784358620664519</v>
      </c>
      <c r="L20" s="23" t="s">
        <v>366</v>
      </c>
      <c r="M20" s="60">
        <f t="shared" ref="M20:M21" si="8">K20/I20</f>
        <v>3.0115886550776114</v>
      </c>
      <c r="N20" s="10" t="s">
        <v>446</v>
      </c>
      <c r="O20" s="164">
        <f>'Equipment Rates 2025'!$E$10</f>
        <v>312.43</v>
      </c>
      <c r="P20" s="35" t="s">
        <v>537</v>
      </c>
      <c r="Q20" s="4">
        <f>'Labor Rates 2025'!$E$12</f>
        <v>48.03</v>
      </c>
      <c r="R20" t="s">
        <v>537</v>
      </c>
      <c r="S20" s="305">
        <f t="shared" ref="S20:S21" si="9">(O20+Q20)*M20</f>
        <v>1085.557246609276</v>
      </c>
      <c r="T20" s="758">
        <v>1085.5571505681041</v>
      </c>
    </row>
    <row r="21" spans="1:22" x14ac:dyDescent="0.25">
      <c r="A21" s="692" t="s">
        <v>1999</v>
      </c>
      <c r="B21" s="73" t="s">
        <v>613</v>
      </c>
      <c r="C21" s="106">
        <f>$A$179</f>
        <v>0.83</v>
      </c>
      <c r="D21" s="114">
        <v>0.9</v>
      </c>
      <c r="E21" s="115">
        <v>0.75</v>
      </c>
      <c r="F21" s="89">
        <f t="shared" si="6"/>
        <v>0.56025000000000003</v>
      </c>
      <c r="G21" s="609">
        <f>$B$243</f>
        <v>0.46487603305785125</v>
      </c>
      <c r="H21" s="230" t="s">
        <v>608</v>
      </c>
      <c r="I21" s="11">
        <f t="shared" si="7"/>
        <v>0.26044679752066119</v>
      </c>
      <c r="J21" s="21" t="s">
        <v>608</v>
      </c>
      <c r="K21" s="92">
        <f>'AcreageTracking-MAP'!G29</f>
        <v>0.33219096069806042</v>
      </c>
      <c r="L21" s="23" t="s">
        <v>366</v>
      </c>
      <c r="M21" s="60">
        <f t="shared" si="8"/>
        <v>1.2754657145350685</v>
      </c>
      <c r="N21" s="10" t="s">
        <v>446</v>
      </c>
      <c r="O21" s="164">
        <f>'Equipment Rates 2025'!$E$10</f>
        <v>312.43</v>
      </c>
      <c r="P21" s="35" t="s">
        <v>537</v>
      </c>
      <c r="Q21" s="4">
        <f>'Labor Rates 2025'!$E$12</f>
        <v>48.03</v>
      </c>
      <c r="R21" t="s">
        <v>537</v>
      </c>
      <c r="S21" s="305">
        <f t="shared" si="9"/>
        <v>459.75437146131082</v>
      </c>
      <c r="T21" s="758">
        <v>459.75540185856681</v>
      </c>
    </row>
    <row r="22" spans="1:22" x14ac:dyDescent="0.25">
      <c r="A22" s="454"/>
      <c r="G22" s="230"/>
      <c r="H22" s="230"/>
      <c r="K22" s="73"/>
      <c r="S22" s="3"/>
      <c r="T22" s="21"/>
    </row>
    <row r="23" spans="1:22" x14ac:dyDescent="0.25">
      <c r="A23" s="375" t="s">
        <v>612</v>
      </c>
      <c r="B23" s="429"/>
      <c r="C23" s="107"/>
      <c r="D23" s="116"/>
      <c r="E23" s="117"/>
      <c r="F23" s="26"/>
      <c r="G23" s="607"/>
      <c r="H23" s="607"/>
      <c r="I23" s="30"/>
      <c r="J23" s="30"/>
      <c r="K23" s="79"/>
      <c r="L23" s="30"/>
      <c r="M23" s="57"/>
      <c r="N23" s="31"/>
      <c r="O23" s="165"/>
      <c r="P23" s="30"/>
      <c r="Q23" s="42"/>
      <c r="R23" s="30"/>
      <c r="S23" s="26"/>
      <c r="T23" s="21"/>
      <c r="U23" s="73" t="s">
        <v>605</v>
      </c>
    </row>
    <row r="24" spans="1:22" x14ac:dyDescent="0.25">
      <c r="A24" s="454" t="s">
        <v>296</v>
      </c>
      <c r="B24" t="s">
        <v>613</v>
      </c>
      <c r="C24" s="106">
        <f>$A$179</f>
        <v>0.83</v>
      </c>
      <c r="D24" s="114">
        <v>0.9</v>
      </c>
      <c r="E24" s="115">
        <v>0.75</v>
      </c>
      <c r="F24" s="89">
        <f t="shared" ref="F24:F30" si="10">C24*D24*E24</f>
        <v>0.56025000000000003</v>
      </c>
      <c r="G24" s="608">
        <f>$B$241</f>
        <v>1500</v>
      </c>
      <c r="H24" s="230" t="s">
        <v>614</v>
      </c>
      <c r="I24" s="93">
        <f>G24*F24</f>
        <v>840.375</v>
      </c>
      <c r="J24" s="21" t="s">
        <v>614</v>
      </c>
      <c r="K24" s="754">
        <f>$E$507</f>
        <v>144499.99999999997</v>
      </c>
      <c r="L24" s="23" t="s">
        <v>20</v>
      </c>
      <c r="M24" s="60">
        <f t="shared" ref="M24:M30" si="11">K24/I24</f>
        <v>171.94704744905545</v>
      </c>
      <c r="N24" s="10" t="s">
        <v>446</v>
      </c>
      <c r="O24" s="164">
        <f>'Equipment Rates 2025'!$E$10</f>
        <v>312.43</v>
      </c>
      <c r="P24" s="35" t="s">
        <v>537</v>
      </c>
      <c r="Q24" s="4">
        <f>'Labor Rates 2025'!$E$12</f>
        <v>48.03</v>
      </c>
      <c r="R24" t="s">
        <v>537</v>
      </c>
      <c r="S24" s="305">
        <f t="shared" ref="S24:S30" si="12">(O24+Q24)*M24</f>
        <v>61980.032723486533</v>
      </c>
      <c r="T24" s="758">
        <v>61980.032723486533</v>
      </c>
      <c r="V24" s="372"/>
    </row>
    <row r="25" spans="1:22" x14ac:dyDescent="0.25">
      <c r="A25" s="454" t="s">
        <v>297</v>
      </c>
      <c r="B25" t="s">
        <v>613</v>
      </c>
      <c r="C25" s="106">
        <f>$A$179</f>
        <v>0.83</v>
      </c>
      <c r="D25" s="114">
        <v>0.9</v>
      </c>
      <c r="E25" s="115">
        <v>0.75</v>
      </c>
      <c r="F25" s="89">
        <f t="shared" si="10"/>
        <v>0.56025000000000003</v>
      </c>
      <c r="G25" s="608">
        <f t="shared" ref="G25:G28" si="13">$B$241</f>
        <v>1500</v>
      </c>
      <c r="H25" s="230" t="s">
        <v>614</v>
      </c>
      <c r="I25" s="93">
        <f t="shared" ref="I25:I30" si="14">G25*F25</f>
        <v>840.375</v>
      </c>
      <c r="J25" s="21" t="s">
        <v>614</v>
      </c>
      <c r="K25" s="754">
        <f>$D$507</f>
        <v>2110684.7407407407</v>
      </c>
      <c r="L25" s="23" t="s">
        <v>20</v>
      </c>
      <c r="M25" s="60">
        <f t="shared" si="11"/>
        <v>2511.5986800425294</v>
      </c>
      <c r="N25" s="10" t="s">
        <v>446</v>
      </c>
      <c r="O25" s="164">
        <f>'Equipment Rates 2025'!$E$10</f>
        <v>312.43</v>
      </c>
      <c r="P25" s="35" t="s">
        <v>537</v>
      </c>
      <c r="Q25" s="4">
        <f>'Labor Rates 2025'!$E$12</f>
        <v>48.03</v>
      </c>
      <c r="R25" t="s">
        <v>537</v>
      </c>
      <c r="S25" s="305">
        <f t="shared" si="12"/>
        <v>905330.86020813021</v>
      </c>
      <c r="T25" s="758">
        <v>905330.86020813021</v>
      </c>
      <c r="U25" s="38"/>
      <c r="V25" s="372"/>
    </row>
    <row r="26" spans="1:22" x14ac:dyDescent="0.25">
      <c r="A26" s="454" t="s">
        <v>301</v>
      </c>
      <c r="B26" t="s">
        <v>613</v>
      </c>
      <c r="C26" s="106">
        <f>$A$179</f>
        <v>0.83</v>
      </c>
      <c r="D26" s="114">
        <v>0.9</v>
      </c>
      <c r="E26" s="115">
        <v>0.75</v>
      </c>
      <c r="F26" s="89">
        <f t="shared" si="10"/>
        <v>0.56025000000000003</v>
      </c>
      <c r="G26" s="608">
        <f t="shared" si="13"/>
        <v>1500</v>
      </c>
      <c r="H26" s="230" t="s">
        <v>614</v>
      </c>
      <c r="I26" s="93">
        <f t="shared" si="14"/>
        <v>840.375</v>
      </c>
      <c r="J26" s="21" t="s">
        <v>614</v>
      </c>
      <c r="K26" s="754">
        <f>$G$507</f>
        <v>36124.999999999993</v>
      </c>
      <c r="L26" s="23" t="s">
        <v>20</v>
      </c>
      <c r="M26" s="60">
        <f t="shared" si="11"/>
        <v>42.986761862263862</v>
      </c>
      <c r="N26" s="10" t="s">
        <v>446</v>
      </c>
      <c r="O26" s="164">
        <f>'Equipment Rates 2025'!$E$10</f>
        <v>312.43</v>
      </c>
      <c r="P26" s="35" t="s">
        <v>537</v>
      </c>
      <c r="Q26" s="4">
        <f>'Labor Rates 2025'!$E$12</f>
        <v>48.03</v>
      </c>
      <c r="R26" t="s">
        <v>537</v>
      </c>
      <c r="S26" s="305">
        <f t="shared" si="12"/>
        <v>15495.008180871633</v>
      </c>
      <c r="T26" s="758">
        <v>15495.008180871633</v>
      </c>
      <c r="U26" s="38"/>
      <c r="V26" s="372"/>
    </row>
    <row r="27" spans="1:22" x14ac:dyDescent="0.25">
      <c r="A27" s="454" t="s">
        <v>302</v>
      </c>
      <c r="B27" t="s">
        <v>613</v>
      </c>
      <c r="C27" s="106">
        <f>$A$179</f>
        <v>0.83</v>
      </c>
      <c r="D27" s="114">
        <v>0.9</v>
      </c>
      <c r="E27" s="115">
        <v>0.75</v>
      </c>
      <c r="F27" s="89">
        <f t="shared" si="10"/>
        <v>0.56025000000000003</v>
      </c>
      <c r="G27" s="608">
        <f t="shared" si="13"/>
        <v>1500</v>
      </c>
      <c r="H27" s="230" t="s">
        <v>614</v>
      </c>
      <c r="I27" s="93">
        <f t="shared" si="14"/>
        <v>840.375</v>
      </c>
      <c r="J27" s="21" t="s">
        <v>614</v>
      </c>
      <c r="K27" s="754">
        <f>$F$507</f>
        <v>4515.6249999999991</v>
      </c>
      <c r="L27" s="23" t="s">
        <v>20</v>
      </c>
      <c r="M27" s="60">
        <f t="shared" si="11"/>
        <v>5.3733452327829827</v>
      </c>
      <c r="N27" s="10" t="s">
        <v>446</v>
      </c>
      <c r="O27" s="164">
        <f>'Equipment Rates 2025'!$E$10</f>
        <v>312.43</v>
      </c>
      <c r="P27" s="35" t="s">
        <v>537</v>
      </c>
      <c r="Q27" s="4">
        <f>'Labor Rates 2025'!$E$12</f>
        <v>48.03</v>
      </c>
      <c r="R27" t="s">
        <v>537</v>
      </c>
      <c r="S27" s="305">
        <f t="shared" si="12"/>
        <v>1936.8760226089541</v>
      </c>
      <c r="T27" s="758">
        <v>1936.8760226089541</v>
      </c>
      <c r="U27" s="38"/>
      <c r="V27" s="372"/>
    </row>
    <row r="28" spans="1:22" x14ac:dyDescent="0.25">
      <c r="A28" s="454" t="s">
        <v>305</v>
      </c>
      <c r="B28" t="s">
        <v>613</v>
      </c>
      <c r="C28" s="106">
        <f>$A$179</f>
        <v>0.83</v>
      </c>
      <c r="D28" s="114">
        <v>0.9</v>
      </c>
      <c r="E28" s="115">
        <v>0.75</v>
      </c>
      <c r="F28" s="89">
        <f t="shared" si="10"/>
        <v>0.56025000000000003</v>
      </c>
      <c r="G28" s="608">
        <f t="shared" si="13"/>
        <v>1500</v>
      </c>
      <c r="H28" s="230" t="s">
        <v>614</v>
      </c>
      <c r="I28" s="93">
        <f t="shared" si="14"/>
        <v>840.375</v>
      </c>
      <c r="J28" s="21" t="s">
        <v>614</v>
      </c>
      <c r="K28" s="756">
        <f>$I$507</f>
        <v>231199.99999999994</v>
      </c>
      <c r="L28" s="871" t="s">
        <v>20</v>
      </c>
      <c r="M28" s="60">
        <f t="shared" si="11"/>
        <v>275.11527591848869</v>
      </c>
      <c r="N28" s="10" t="s">
        <v>446</v>
      </c>
      <c r="O28" s="164">
        <f>'Equipment Rates 2025'!$E$10</f>
        <v>312.43</v>
      </c>
      <c r="P28" s="35" t="s">
        <v>537</v>
      </c>
      <c r="Q28" s="166">
        <f>'Labor Rates 2025'!$E$12</f>
        <v>48.03</v>
      </c>
      <c r="R28" t="s">
        <v>537</v>
      </c>
      <c r="S28" s="305">
        <f t="shared" si="12"/>
        <v>99168.052357578446</v>
      </c>
      <c r="T28" s="758">
        <v>99168.052357578446</v>
      </c>
      <c r="U28" s="38"/>
      <c r="V28" s="372"/>
    </row>
    <row r="29" spans="1:22" x14ac:dyDescent="0.25">
      <c r="A29" s="454" t="s">
        <v>306</v>
      </c>
      <c r="B29" t="s">
        <v>615</v>
      </c>
      <c r="C29" s="106"/>
      <c r="D29" s="114"/>
      <c r="E29" s="115"/>
      <c r="F29" s="89"/>
      <c r="G29" s="230"/>
      <c r="H29" s="230"/>
      <c r="I29" s="11"/>
      <c r="J29" s="21"/>
      <c r="K29" s="92">
        <f>'AcreageTracking-MAP'!G72</f>
        <v>0.80739424319484321</v>
      </c>
      <c r="L29" s="871" t="s">
        <v>366</v>
      </c>
      <c r="M29" s="60"/>
      <c r="N29" s="10"/>
      <c r="O29" s="164"/>
      <c r="P29" s="35"/>
      <c r="Q29" s="163"/>
      <c r="S29" s="305"/>
      <c r="T29" s="758"/>
      <c r="U29" s="38"/>
    </row>
    <row r="30" spans="1:22" x14ac:dyDescent="0.25">
      <c r="A30" s="454" t="s">
        <v>616</v>
      </c>
      <c r="B30" t="s">
        <v>617</v>
      </c>
      <c r="C30" s="106">
        <f>$A$179</f>
        <v>0.83</v>
      </c>
      <c r="D30" s="114">
        <v>0.9</v>
      </c>
      <c r="E30" s="115">
        <v>0.95</v>
      </c>
      <c r="F30" s="89">
        <f t="shared" si="10"/>
        <v>0.70965</v>
      </c>
      <c r="G30" s="609">
        <f>B191</f>
        <v>0.13946280991735538</v>
      </c>
      <c r="H30" s="230" t="s">
        <v>608</v>
      </c>
      <c r="I30" s="11">
        <f t="shared" si="14"/>
        <v>9.8969783057851243E-2</v>
      </c>
      <c r="J30" s="21" t="s">
        <v>608</v>
      </c>
      <c r="K30" s="92">
        <f>('AcreageTracking-MAP'!G82+'AcreageTracking-MAP'!G86)*0.1</f>
        <v>98.716272900044657</v>
      </c>
      <c r="L30" s="871" t="s">
        <v>366</v>
      </c>
      <c r="M30" s="60">
        <f t="shared" si="11"/>
        <v>997.4385095129652</v>
      </c>
      <c r="N30" s="10" t="s">
        <v>446</v>
      </c>
      <c r="O30" s="164">
        <f>'Equipment Rates 2025'!$E$7</f>
        <v>92.68</v>
      </c>
      <c r="P30" s="35" t="s">
        <v>537</v>
      </c>
      <c r="Q30" s="166">
        <f>'Labor Rates 2025'!$E$12</f>
        <v>48.03</v>
      </c>
      <c r="R30" t="s">
        <v>537</v>
      </c>
      <c r="S30" s="305">
        <f t="shared" si="12"/>
        <v>140349.57267356935</v>
      </c>
      <c r="T30" s="758">
        <v>126211.35536687018</v>
      </c>
      <c r="U30" s="73" t="s">
        <v>1875</v>
      </c>
    </row>
    <row r="31" spans="1:22" x14ac:dyDescent="0.25">
      <c r="A31" s="454" t="s">
        <v>274</v>
      </c>
      <c r="B31" t="s">
        <v>613</v>
      </c>
      <c r="C31" s="106">
        <f>$A$179</f>
        <v>0.83</v>
      </c>
      <c r="D31" s="114">
        <v>0.9</v>
      </c>
      <c r="E31" s="115">
        <v>0.75</v>
      </c>
      <c r="F31" s="89">
        <f t="shared" ref="F31" si="15">C31*D31*E31</f>
        <v>0.56025000000000003</v>
      </c>
      <c r="G31" s="608">
        <f t="shared" ref="G31" si="16">$B$241</f>
        <v>1500</v>
      </c>
      <c r="H31" s="230" t="s">
        <v>614</v>
      </c>
      <c r="I31" s="93">
        <f t="shared" ref="I31:I32" si="17">G31*F31</f>
        <v>840.375</v>
      </c>
      <c r="J31" s="21" t="s">
        <v>614</v>
      </c>
      <c r="K31" s="756">
        <f>B423</f>
        <v>184959.99999999997</v>
      </c>
      <c r="L31" s="871" t="s">
        <v>20</v>
      </c>
      <c r="M31" s="60">
        <f t="shared" ref="M31" si="18">K31/I31</f>
        <v>220.09222073479097</v>
      </c>
      <c r="N31" s="10" t="s">
        <v>446</v>
      </c>
      <c r="O31" s="164">
        <f>'Equipment Rates 2025'!$E$10</f>
        <v>312.43</v>
      </c>
      <c r="P31" s="35" t="s">
        <v>537</v>
      </c>
      <c r="Q31" s="166">
        <f>'Labor Rates 2025'!$E$12</f>
        <v>48.03</v>
      </c>
      <c r="R31" t="s">
        <v>537</v>
      </c>
      <c r="S31" s="305">
        <f t="shared" ref="S31" si="19">(O31+Q31)*M31</f>
        <v>79334.441886062763</v>
      </c>
      <c r="T31" s="758">
        <v>79334.441886062763</v>
      </c>
      <c r="U31" s="73" t="s">
        <v>618</v>
      </c>
    </row>
    <row r="32" spans="1:22" x14ac:dyDescent="0.25">
      <c r="A32" s="454" t="s">
        <v>315</v>
      </c>
      <c r="B32" t="s">
        <v>613</v>
      </c>
      <c r="C32" s="106">
        <f>$A$179</f>
        <v>0.83</v>
      </c>
      <c r="D32" s="114">
        <v>0.9</v>
      </c>
      <c r="E32" s="115">
        <v>0.95</v>
      </c>
      <c r="F32" s="89">
        <f>C32*D32*E32</f>
        <v>0.70965</v>
      </c>
      <c r="G32" s="609">
        <f>$B$243</f>
        <v>0.46487603305785125</v>
      </c>
      <c r="H32" s="230" t="s">
        <v>608</v>
      </c>
      <c r="I32" s="11">
        <f t="shared" si="17"/>
        <v>0.32989927685950415</v>
      </c>
      <c r="J32" s="21" t="s">
        <v>608</v>
      </c>
      <c r="K32" s="92">
        <f>'AcreageTracking-MAP'!G33</f>
        <v>7.6696761722532969</v>
      </c>
      <c r="L32" s="871" t="s">
        <v>366</v>
      </c>
      <c r="M32" s="60">
        <f t="shared" ref="M32" si="20">K32/I32</f>
        <v>23.248538903344187</v>
      </c>
      <c r="N32" s="10" t="s">
        <v>446</v>
      </c>
      <c r="O32" s="164">
        <f>'Equipment Rates 2025'!$E$10</f>
        <v>312.43</v>
      </c>
      <c r="P32" s="35" t="s">
        <v>537</v>
      </c>
      <c r="Q32" s="166">
        <f>'Labor Rates 2025'!$E$12</f>
        <v>48.03</v>
      </c>
      <c r="R32" t="s">
        <v>537</v>
      </c>
      <c r="S32" s="305">
        <f t="shared" ref="S32" si="21">(O32+Q32)*M32</f>
        <v>8380.1683330994456</v>
      </c>
      <c r="T32" s="758">
        <v>7853.9535495072123</v>
      </c>
      <c r="U32" s="73" t="s">
        <v>618</v>
      </c>
    </row>
    <row r="33" spans="1:21" x14ac:dyDescent="0.25">
      <c r="A33" s="454" t="s">
        <v>275</v>
      </c>
      <c r="B33" t="s">
        <v>613</v>
      </c>
      <c r="C33" s="106">
        <f>$A$179</f>
        <v>0.83</v>
      </c>
      <c r="D33" s="114">
        <v>0.9</v>
      </c>
      <c r="E33" s="115">
        <v>0.75</v>
      </c>
      <c r="F33" s="89">
        <f t="shared" ref="F33:F47" si="22">C33*D33*E33</f>
        <v>0.56025000000000003</v>
      </c>
      <c r="G33" s="608">
        <f t="shared" ref="G33" si="23">$B$241</f>
        <v>1500</v>
      </c>
      <c r="H33" s="230" t="s">
        <v>614</v>
      </c>
      <c r="I33" s="11">
        <f t="shared" ref="I33:I47" si="24">G33*F33</f>
        <v>840.375</v>
      </c>
      <c r="J33" s="21" t="s">
        <v>614</v>
      </c>
      <c r="K33" s="756">
        <f>C469</f>
        <v>818807</v>
      </c>
      <c r="L33" s="871" t="s">
        <v>20</v>
      </c>
      <c r="M33" s="60">
        <f t="shared" ref="M33:M45" si="25">K33/I33</f>
        <v>974.33526699390154</v>
      </c>
      <c r="N33" s="10" t="s">
        <v>446</v>
      </c>
      <c r="O33" s="164">
        <f>'Equipment Rates 2025'!$E$10</f>
        <v>312.43</v>
      </c>
      <c r="P33" s="35" t="s">
        <v>537</v>
      </c>
      <c r="Q33" s="166">
        <f>'Labor Rates 2025'!$E$12</f>
        <v>48.03</v>
      </c>
      <c r="R33" t="s">
        <v>537</v>
      </c>
      <c r="S33" s="305">
        <f t="shared" ref="S33:S46" si="26">(O33+Q33)*M33</f>
        <v>351208.89034062176</v>
      </c>
      <c r="T33" s="758">
        <v>351208.89034062176</v>
      </c>
      <c r="U33" s="38"/>
    </row>
    <row r="34" spans="1:21" x14ac:dyDescent="0.25">
      <c r="A34" s="454" t="s">
        <v>276</v>
      </c>
      <c r="B34" t="s">
        <v>613</v>
      </c>
      <c r="C34" s="106">
        <f>$A$179</f>
        <v>0.83</v>
      </c>
      <c r="D34" s="114">
        <v>0.9</v>
      </c>
      <c r="E34" s="115">
        <v>0.95</v>
      </c>
      <c r="F34" s="89">
        <f t="shared" si="22"/>
        <v>0.70965</v>
      </c>
      <c r="G34" s="609">
        <f>$B$243</f>
        <v>0.46487603305785125</v>
      </c>
      <c r="H34" s="230" t="s">
        <v>608</v>
      </c>
      <c r="I34" s="11">
        <f t="shared" si="24"/>
        <v>0.32989927685950415</v>
      </c>
      <c r="J34" s="21" t="s">
        <v>608</v>
      </c>
      <c r="K34" s="92">
        <f>'AcreageTracking-MAP'!G35</f>
        <v>29.358257740279139</v>
      </c>
      <c r="L34" s="871" t="s">
        <v>366</v>
      </c>
      <c r="M34" s="60">
        <f t="shared" si="25"/>
        <v>88.991579550451959</v>
      </c>
      <c r="N34" s="10" t="s">
        <v>446</v>
      </c>
      <c r="O34" s="164">
        <f>'Equipment Rates 2025'!$E$9</f>
        <v>166.29</v>
      </c>
      <c r="P34" s="35" t="s">
        <v>537</v>
      </c>
      <c r="Q34" s="166">
        <f>'Labor Rates 2025'!$E$12</f>
        <v>48.03</v>
      </c>
      <c r="R34" t="s">
        <v>537</v>
      </c>
      <c r="S34" s="305">
        <f t="shared" si="26"/>
        <v>19072.675329252863</v>
      </c>
      <c r="T34" s="758">
        <v>19072.675092221416</v>
      </c>
    </row>
    <row r="35" spans="1:21" x14ac:dyDescent="0.25">
      <c r="A35" s="454" t="s">
        <v>277</v>
      </c>
      <c r="B35" t="s">
        <v>398</v>
      </c>
      <c r="C35" s="106"/>
      <c r="D35" s="114"/>
      <c r="E35" s="115"/>
      <c r="F35" s="164" t="s">
        <v>399</v>
      </c>
      <c r="G35" s="229"/>
      <c r="H35" s="230"/>
      <c r="I35" s="11"/>
      <c r="J35" s="21"/>
      <c r="K35" s="232"/>
      <c r="L35" s="871"/>
      <c r="M35" s="60"/>
      <c r="N35" s="10"/>
      <c r="O35" s="164"/>
      <c r="P35" s="35"/>
      <c r="Q35" s="163"/>
      <c r="S35" s="305">
        <v>0</v>
      </c>
      <c r="T35" s="758">
        <v>0</v>
      </c>
      <c r="U35" s="38"/>
    </row>
    <row r="36" spans="1:21" x14ac:dyDescent="0.25">
      <c r="A36" s="454" t="s">
        <v>317</v>
      </c>
      <c r="B36" t="s">
        <v>619</v>
      </c>
      <c r="C36" s="214"/>
      <c r="D36" s="114"/>
      <c r="E36" s="114"/>
      <c r="F36" s="89"/>
      <c r="G36" s="230"/>
      <c r="H36" s="230"/>
      <c r="I36" s="11"/>
      <c r="J36" s="21"/>
      <c r="K36" s="73"/>
      <c r="L36" s="871"/>
      <c r="M36" s="60"/>
      <c r="O36" s="164"/>
      <c r="P36" s="35"/>
      <c r="Q36" s="163"/>
      <c r="S36" s="305">
        <v>0</v>
      </c>
      <c r="T36" s="758">
        <v>0</v>
      </c>
      <c r="U36" s="38"/>
    </row>
    <row r="37" spans="1:21" x14ac:dyDescent="0.25">
      <c r="A37" s="454" t="s">
        <v>278</v>
      </c>
      <c r="B37" t="s">
        <v>398</v>
      </c>
      <c r="C37" s="106"/>
      <c r="D37" s="114"/>
      <c r="E37" s="115"/>
      <c r="F37" s="164" t="s">
        <v>399</v>
      </c>
      <c r="G37" s="229"/>
      <c r="H37" s="230"/>
      <c r="I37" s="11"/>
      <c r="J37" s="21"/>
      <c r="K37" s="232"/>
      <c r="L37" s="871"/>
      <c r="M37" s="60"/>
      <c r="N37" s="10"/>
      <c r="O37" s="164"/>
      <c r="P37" s="35"/>
      <c r="Q37" s="163"/>
      <c r="S37" s="305">
        <v>0</v>
      </c>
      <c r="T37" s="758">
        <v>0</v>
      </c>
      <c r="U37" s="38"/>
    </row>
    <row r="38" spans="1:21" x14ac:dyDescent="0.25">
      <c r="A38" s="454" t="s">
        <v>279</v>
      </c>
      <c r="B38" t="s">
        <v>613</v>
      </c>
      <c r="C38" s="106">
        <f>$A$179</f>
        <v>0.83</v>
      </c>
      <c r="D38" s="114">
        <v>0.9</v>
      </c>
      <c r="E38" s="115">
        <v>0.75</v>
      </c>
      <c r="F38" s="89">
        <f t="shared" ref="F38:F39" si="27">C38*D38*E38</f>
        <v>0.56025000000000003</v>
      </c>
      <c r="G38" s="608">
        <f t="shared" ref="G38" si="28">$B$241</f>
        <v>1500</v>
      </c>
      <c r="H38" s="230" t="s">
        <v>614</v>
      </c>
      <c r="I38" s="93">
        <f t="shared" ref="I38:I40" si="29">G38*F38</f>
        <v>840.375</v>
      </c>
      <c r="J38" s="21" t="s">
        <v>614</v>
      </c>
      <c r="K38" s="756">
        <f>C423</f>
        <v>885062.5</v>
      </c>
      <c r="L38" s="871" t="s">
        <v>20</v>
      </c>
      <c r="M38" s="60">
        <f t="shared" ref="M38:M40" si="30">K38/I38</f>
        <v>1053.1756656254647</v>
      </c>
      <c r="N38" s="10" t="s">
        <v>446</v>
      </c>
      <c r="O38" s="164">
        <f>'Equipment Rates 2025'!$E$10</f>
        <v>312.43</v>
      </c>
      <c r="P38" s="35" t="s">
        <v>537</v>
      </c>
      <c r="Q38" s="166">
        <f>'Labor Rates 2025'!$E$12</f>
        <v>48.03</v>
      </c>
      <c r="R38" t="s">
        <v>537</v>
      </c>
      <c r="S38" s="305">
        <f t="shared" ref="S38" si="31">(O38+Q38)*M38</f>
        <v>379627.70043135504</v>
      </c>
      <c r="T38" s="758">
        <v>379627.70043135504</v>
      </c>
      <c r="U38" s="38"/>
    </row>
    <row r="39" spans="1:21" x14ac:dyDescent="0.25">
      <c r="A39" s="454" t="s">
        <v>1933</v>
      </c>
      <c r="B39" s="73" t="s">
        <v>613</v>
      </c>
      <c r="C39" s="106">
        <f>$A$179</f>
        <v>0.83</v>
      </c>
      <c r="D39" s="114">
        <v>0.9</v>
      </c>
      <c r="E39" s="115">
        <v>0.75</v>
      </c>
      <c r="F39" s="89">
        <f t="shared" si="27"/>
        <v>0.56025000000000003</v>
      </c>
      <c r="G39" s="609">
        <f>$B$243</f>
        <v>0.46487603305785125</v>
      </c>
      <c r="H39" s="230" t="s">
        <v>608</v>
      </c>
      <c r="I39" s="11">
        <f t="shared" si="29"/>
        <v>0.26044679752066119</v>
      </c>
      <c r="J39" s="21" t="s">
        <v>608</v>
      </c>
      <c r="K39" s="92">
        <f>'AcreageTracking-MAP'!G44</f>
        <v>11.945298801659563</v>
      </c>
      <c r="L39" s="871" t="s">
        <v>366</v>
      </c>
      <c r="M39" s="60">
        <f t="shared" si="30"/>
        <v>45.864640745724451</v>
      </c>
      <c r="N39" s="10" t="s">
        <v>446</v>
      </c>
      <c r="O39" s="164">
        <f>'Equipment Rates 2025'!$E$10</f>
        <v>312.43</v>
      </c>
      <c r="P39" s="35" t="s">
        <v>537</v>
      </c>
      <c r="Q39" s="166">
        <f>'Labor Rates 2025'!$E$12</f>
        <v>48.03</v>
      </c>
      <c r="R39" t="s">
        <v>537</v>
      </c>
      <c r="S39" s="305">
        <f>(O39+Q39)*M39</f>
        <v>16532.368403203836</v>
      </c>
      <c r="T39" s="758">
        <v>11022.086873380296</v>
      </c>
    </row>
    <row r="40" spans="1:21" x14ac:dyDescent="0.25">
      <c r="A40" s="454" t="s">
        <v>2059</v>
      </c>
      <c r="B40" t="s">
        <v>613</v>
      </c>
      <c r="C40" s="106">
        <f>$A$179</f>
        <v>0.83</v>
      </c>
      <c r="D40" s="114">
        <v>0.9</v>
      </c>
      <c r="E40" s="115">
        <v>0.95</v>
      </c>
      <c r="F40" s="89">
        <f>C40*D40*E40</f>
        <v>0.70965</v>
      </c>
      <c r="G40" s="609">
        <f>$B$243</f>
        <v>0.46487603305785125</v>
      </c>
      <c r="H40" s="230" t="s">
        <v>608</v>
      </c>
      <c r="I40" s="11">
        <f t="shared" si="29"/>
        <v>0.32989927685950415</v>
      </c>
      <c r="J40" s="21" t="s">
        <v>608</v>
      </c>
      <c r="K40" s="92">
        <f>'AcreageTracking-MAP'!G45</f>
        <v>12.310011391775721</v>
      </c>
      <c r="L40" s="871" t="s">
        <v>366</v>
      </c>
      <c r="M40" s="60">
        <f t="shared" si="30"/>
        <v>37.314454002329462</v>
      </c>
      <c r="N40" s="10" t="s">
        <v>446</v>
      </c>
      <c r="O40" s="164">
        <f>'Equipment Rates 2025'!$E$9</f>
        <v>166.29</v>
      </c>
      <c r="P40" s="35" t="s">
        <v>537</v>
      </c>
      <c r="Q40" s="166">
        <f>'Labor Rates 2025'!$E$12</f>
        <v>48.03</v>
      </c>
      <c r="R40" t="s">
        <v>537</v>
      </c>
      <c r="S40" s="305">
        <f t="shared" ref="S40" si="32">(O40+Q40)*M40</f>
        <v>7997.2337817792504</v>
      </c>
      <c r="T40" s="758"/>
      <c r="U40" s="239" t="s">
        <v>2149</v>
      </c>
    </row>
    <row r="41" spans="1:21" x14ac:dyDescent="0.25">
      <c r="A41" s="454" t="s">
        <v>318</v>
      </c>
      <c r="B41" t="s">
        <v>619</v>
      </c>
      <c r="C41" s="214"/>
      <c r="D41" s="114"/>
      <c r="E41" s="114"/>
      <c r="F41" s="89"/>
      <c r="G41" s="230"/>
      <c r="H41" s="230"/>
      <c r="I41" s="11"/>
      <c r="J41" s="21"/>
      <c r="K41" s="73"/>
      <c r="L41" s="871"/>
      <c r="M41" s="5"/>
      <c r="O41" s="164"/>
      <c r="P41" s="35"/>
      <c r="Q41" s="163"/>
      <c r="S41" s="305">
        <v>0</v>
      </c>
      <c r="T41" s="758">
        <v>0</v>
      </c>
      <c r="U41" s="38"/>
    </row>
    <row r="42" spans="1:21" x14ac:dyDescent="0.25">
      <c r="A42" s="454" t="s">
        <v>319</v>
      </c>
      <c r="B42" s="73" t="s">
        <v>2156</v>
      </c>
      <c r="C42" s="106"/>
      <c r="D42" s="114"/>
      <c r="E42" s="115"/>
      <c r="G42" s="609"/>
      <c r="H42" s="230"/>
      <c r="I42" s="11"/>
      <c r="J42" s="21"/>
      <c r="K42" s="92"/>
      <c r="L42" s="871"/>
      <c r="M42" s="60"/>
      <c r="N42" s="10"/>
      <c r="O42" s="164"/>
      <c r="P42" s="35"/>
      <c r="Q42" s="166"/>
      <c r="S42" s="305">
        <v>0</v>
      </c>
      <c r="T42" s="758">
        <v>2768.0125340869649</v>
      </c>
    </row>
    <row r="43" spans="1:21" x14ac:dyDescent="0.25">
      <c r="A43" s="454" t="s">
        <v>320</v>
      </c>
      <c r="B43" s="73" t="s">
        <v>2156</v>
      </c>
      <c r="C43" s="106"/>
      <c r="D43" s="114"/>
      <c r="E43" s="115"/>
      <c r="G43" s="609"/>
      <c r="H43" s="230"/>
      <c r="I43" s="11"/>
      <c r="J43" s="21"/>
      <c r="K43" s="92"/>
      <c r="L43" s="871"/>
      <c r="M43" s="60"/>
      <c r="N43" s="10"/>
      <c r="O43" s="164"/>
      <c r="P43" s="35"/>
      <c r="Q43" s="166"/>
      <c r="S43" s="305">
        <v>0</v>
      </c>
      <c r="T43" s="758">
        <v>13840.062670434825</v>
      </c>
    </row>
    <row r="44" spans="1:21" x14ac:dyDescent="0.25">
      <c r="A44" s="454" t="s">
        <v>283</v>
      </c>
      <c r="B44" t="s">
        <v>613</v>
      </c>
      <c r="C44" s="106">
        <f>$A$179</f>
        <v>0.83</v>
      </c>
      <c r="D44" s="114">
        <v>0.9</v>
      </c>
      <c r="E44" s="115">
        <v>0.75</v>
      </c>
      <c r="F44" s="89">
        <f t="shared" ref="F44:F45" si="33">C44*D44*E44</f>
        <v>0.56025000000000003</v>
      </c>
      <c r="G44" s="608">
        <f t="shared" ref="G44:G46" si="34">$B$241</f>
        <v>1500</v>
      </c>
      <c r="H44" s="230" t="s">
        <v>614</v>
      </c>
      <c r="I44" s="93">
        <f t="shared" ref="I44:I45" si="35">G44*F44</f>
        <v>840.375</v>
      </c>
      <c r="J44" s="21" t="s">
        <v>614</v>
      </c>
      <c r="K44" s="756">
        <f>$E$423</f>
        <v>1228249.9999999998</v>
      </c>
      <c r="L44" s="871" t="s">
        <v>20</v>
      </c>
      <c r="M44" s="60">
        <f t="shared" ref="M44" si="36">K44/I44</f>
        <v>1461.5499033169713</v>
      </c>
      <c r="N44" s="10" t="s">
        <v>446</v>
      </c>
      <c r="O44" s="164">
        <f>'Equipment Rates 2025'!$E$10</f>
        <v>312.43</v>
      </c>
      <c r="P44" s="35" t="s">
        <v>537</v>
      </c>
      <c r="Q44" s="166">
        <f>'Labor Rates 2025'!$E$12</f>
        <v>48.03</v>
      </c>
      <c r="R44" t="s">
        <v>537</v>
      </c>
      <c r="S44" s="305">
        <f t="shared" ref="S44" si="37">(O44+Q44)*M44</f>
        <v>526830.27814963553</v>
      </c>
      <c r="T44" s="758">
        <v>526830.27814963553</v>
      </c>
      <c r="U44" s="73" t="s">
        <v>1876</v>
      </c>
    </row>
    <row r="45" spans="1:21" x14ac:dyDescent="0.25">
      <c r="A45" s="454" t="s">
        <v>284</v>
      </c>
      <c r="B45" t="s">
        <v>613</v>
      </c>
      <c r="C45" s="106">
        <f>$A$179</f>
        <v>0.83</v>
      </c>
      <c r="D45" s="114">
        <v>0.9</v>
      </c>
      <c r="E45" s="115">
        <v>0.75</v>
      </c>
      <c r="F45" s="89">
        <f t="shared" si="33"/>
        <v>0.56025000000000003</v>
      </c>
      <c r="G45" s="609">
        <f>$B$243</f>
        <v>0.46487603305785125</v>
      </c>
      <c r="H45" s="230" t="s">
        <v>608</v>
      </c>
      <c r="I45" s="11">
        <f t="shared" si="35"/>
        <v>0.26044679752066119</v>
      </c>
      <c r="J45" s="21" t="s">
        <v>608</v>
      </c>
      <c r="K45" s="92">
        <f>'AcreageTracking-MAP'!G50</f>
        <v>26.590398438659477</v>
      </c>
      <c r="L45" s="871" t="s">
        <v>366</v>
      </c>
      <c r="M45" s="60">
        <f t="shared" si="25"/>
        <v>102.09531732310921</v>
      </c>
      <c r="N45" s="10" t="s">
        <v>446</v>
      </c>
      <c r="O45" s="164">
        <f>'Equipment Rates 2025'!$E$10</f>
        <v>312.43</v>
      </c>
      <c r="P45" s="35" t="s">
        <v>537</v>
      </c>
      <c r="Q45" s="166">
        <f>'Labor Rates 2025'!$E$12</f>
        <v>48.03</v>
      </c>
      <c r="R45" t="s">
        <v>537</v>
      </c>
      <c r="S45" s="305">
        <f t="shared" si="26"/>
        <v>36801.27808228795</v>
      </c>
      <c r="T45" s="758">
        <v>38047.27866503445</v>
      </c>
      <c r="U45" s="38"/>
    </row>
    <row r="46" spans="1:21" x14ac:dyDescent="0.25">
      <c r="A46" s="454" t="s">
        <v>322</v>
      </c>
      <c r="B46" t="s">
        <v>613</v>
      </c>
      <c r="C46" s="106">
        <f>$A$179</f>
        <v>0.83</v>
      </c>
      <c r="D46" s="114">
        <v>0.9</v>
      </c>
      <c r="E46" s="115">
        <v>0.75</v>
      </c>
      <c r="F46" s="89">
        <f t="shared" si="22"/>
        <v>0.56025000000000003</v>
      </c>
      <c r="G46" s="608">
        <f t="shared" si="34"/>
        <v>1500</v>
      </c>
      <c r="H46" s="230" t="s">
        <v>614</v>
      </c>
      <c r="I46" s="93">
        <f t="shared" si="24"/>
        <v>840.375</v>
      </c>
      <c r="J46" s="21" t="s">
        <v>614</v>
      </c>
      <c r="K46" s="756">
        <f>$D$423</f>
        <v>293515.625</v>
      </c>
      <c r="L46" s="871" t="s">
        <v>20</v>
      </c>
      <c r="M46" s="60">
        <f t="shared" ref="M46:M47" si="38">K46/I46</f>
        <v>349.26744013089393</v>
      </c>
      <c r="N46" s="10" t="s">
        <v>446</v>
      </c>
      <c r="O46" s="164">
        <f>'Equipment Rates 2025'!$E$10</f>
        <v>312.43</v>
      </c>
      <c r="P46" s="35" t="s">
        <v>537</v>
      </c>
      <c r="Q46" s="166">
        <f>'Labor Rates 2025'!$E$12</f>
        <v>48.03</v>
      </c>
      <c r="R46" t="s">
        <v>537</v>
      </c>
      <c r="S46" s="305">
        <f t="shared" si="26"/>
        <v>125896.94146958205</v>
      </c>
      <c r="T46" s="758">
        <v>125896.94146958205</v>
      </c>
      <c r="U46" s="38"/>
    </row>
    <row r="47" spans="1:21" x14ac:dyDescent="0.25">
      <c r="A47" s="454" t="s">
        <v>286</v>
      </c>
      <c r="B47" t="s">
        <v>613</v>
      </c>
      <c r="C47" s="106">
        <f>$A$179</f>
        <v>0.83</v>
      </c>
      <c r="D47" s="114">
        <v>0.9</v>
      </c>
      <c r="E47" s="115">
        <v>0.75</v>
      </c>
      <c r="F47" s="89">
        <f t="shared" si="22"/>
        <v>0.56025000000000003</v>
      </c>
      <c r="G47" s="609">
        <f>$B$243</f>
        <v>0.46487603305785125</v>
      </c>
      <c r="H47" s="230" t="s">
        <v>608</v>
      </c>
      <c r="I47" s="11">
        <f t="shared" si="24"/>
        <v>0.26044679752066119</v>
      </c>
      <c r="J47" s="21" t="s">
        <v>608</v>
      </c>
      <c r="K47" s="92">
        <f>'AcreageTracking-MAP'!G52</f>
        <v>18.120137530582941</v>
      </c>
      <c r="L47" s="871" t="s">
        <v>366</v>
      </c>
      <c r="M47" s="60">
        <f t="shared" si="38"/>
        <v>69.57327831664152</v>
      </c>
      <c r="N47" s="10" t="s">
        <v>446</v>
      </c>
      <c r="O47" s="164">
        <f>'Equipment Rates 2025'!$E$10</f>
        <v>312.43</v>
      </c>
      <c r="P47" s="35" t="s">
        <v>537</v>
      </c>
      <c r="Q47" s="166">
        <f>'Labor Rates 2025'!$E$12</f>
        <v>48.03</v>
      </c>
      <c r="R47" t="s">
        <v>537</v>
      </c>
      <c r="S47" s="305">
        <f t="shared" ref="S47" si="39">(O47+Q47)*M47</f>
        <v>25078.383902016605</v>
      </c>
      <c r="T47" s="758">
        <v>12852.417113111234</v>
      </c>
      <c r="U47" s="38"/>
    </row>
    <row r="48" spans="1:21" x14ac:dyDescent="0.25">
      <c r="A48" s="454" t="s">
        <v>323</v>
      </c>
      <c r="B48" t="s">
        <v>619</v>
      </c>
      <c r="C48" s="214"/>
      <c r="D48" s="114"/>
      <c r="E48" s="114"/>
      <c r="F48" s="89"/>
      <c r="G48" s="230"/>
      <c r="H48" s="230"/>
      <c r="I48" s="11"/>
      <c r="J48" s="21"/>
      <c r="K48" s="73"/>
      <c r="L48" s="871"/>
      <c r="M48" s="5"/>
      <c r="O48" s="164"/>
      <c r="P48" s="35"/>
      <c r="Q48" s="163"/>
      <c r="S48" s="305">
        <v>0</v>
      </c>
      <c r="T48" s="758">
        <v>0</v>
      </c>
      <c r="U48" s="38"/>
    </row>
    <row r="49" spans="1:22" x14ac:dyDescent="0.25">
      <c r="A49" s="454" t="s">
        <v>324</v>
      </c>
      <c r="B49" t="s">
        <v>613</v>
      </c>
      <c r="C49" s="106">
        <f>$A$179</f>
        <v>0.83</v>
      </c>
      <c r="D49" s="114">
        <v>0.9</v>
      </c>
      <c r="E49" s="115">
        <v>0.75</v>
      </c>
      <c r="F49" s="89">
        <f t="shared" ref="F49" si="40">C49*D49*E49</f>
        <v>0.56025000000000003</v>
      </c>
      <c r="G49" s="609">
        <f>$B$243</f>
        <v>0.46487603305785125</v>
      </c>
      <c r="H49" s="230" t="s">
        <v>608</v>
      </c>
      <c r="I49" s="11">
        <f t="shared" ref="I49" si="41">G49*F49</f>
        <v>0.26044679752066119</v>
      </c>
      <c r="J49" s="21" t="s">
        <v>608</v>
      </c>
      <c r="K49" s="92">
        <f>'AcreageTracking-MAP'!G22</f>
        <v>7.5139108462934416</v>
      </c>
      <c r="L49" s="871" t="s">
        <v>366</v>
      </c>
      <c r="M49" s="60">
        <f t="shared" ref="M49:M53" si="42">K49/I49</f>
        <v>28.850079624025188</v>
      </c>
      <c r="N49" s="10" t="s">
        <v>446</v>
      </c>
      <c r="O49" s="164">
        <f>'Equipment Rates 2025'!$E$10</f>
        <v>312.43</v>
      </c>
      <c r="P49" s="35" t="s">
        <v>537</v>
      </c>
      <c r="Q49" s="166">
        <f>'Labor Rates 2025'!$E$12</f>
        <v>48.03</v>
      </c>
      <c r="R49" t="s">
        <v>537</v>
      </c>
      <c r="S49" s="305">
        <f t="shared" ref="S49:S53" si="43">(O49+Q49)*M49</f>
        <v>10399.299701276121</v>
      </c>
      <c r="T49" s="758">
        <v>10399.301105998245</v>
      </c>
    </row>
    <row r="50" spans="1:22" x14ac:dyDescent="0.25">
      <c r="A50" s="454" t="s">
        <v>621</v>
      </c>
      <c r="B50" s="73" t="s">
        <v>613</v>
      </c>
      <c r="C50" s="106">
        <f>$A$179</f>
        <v>0.83</v>
      </c>
      <c r="D50" s="114">
        <v>0.9</v>
      </c>
      <c r="E50" s="115">
        <v>0.75</v>
      </c>
      <c r="F50" s="89">
        <f t="shared" ref="F50:F53" si="44">C50*D50*E50</f>
        <v>0.56025000000000003</v>
      </c>
      <c r="G50" s="609">
        <f>$B$243</f>
        <v>0.46487603305785125</v>
      </c>
      <c r="H50" s="230" t="s">
        <v>608</v>
      </c>
      <c r="I50" s="11">
        <f t="shared" ref="I50:I53" si="45">G50*F50</f>
        <v>0.26044679752066119</v>
      </c>
      <c r="J50" s="21" t="s">
        <v>608</v>
      </c>
      <c r="K50" s="92">
        <f>'AcreageTracking-MAP'!G15</f>
        <v>210.48498806471477</v>
      </c>
      <c r="L50" s="871" t="s">
        <v>366</v>
      </c>
      <c r="M50" s="60">
        <f t="shared" si="42"/>
        <v>808.16884702917889</v>
      </c>
      <c r="N50" s="10" t="s">
        <v>446</v>
      </c>
      <c r="O50" s="164">
        <f>'Equipment Rates 2025'!$E$10</f>
        <v>312.43</v>
      </c>
      <c r="P50" s="35" t="s">
        <v>537</v>
      </c>
      <c r="Q50" s="166">
        <f>'Labor Rates 2025'!$E$12</f>
        <v>48.03</v>
      </c>
      <c r="R50" t="s">
        <v>537</v>
      </c>
      <c r="S50" s="305">
        <f t="shared" si="43"/>
        <v>291312.54260013788</v>
      </c>
      <c r="T50" s="758">
        <v>251533.84343388383</v>
      </c>
      <c r="U50" s="38"/>
    </row>
    <row r="51" spans="1:22" x14ac:dyDescent="0.25">
      <c r="A51" s="454" t="s">
        <v>287</v>
      </c>
      <c r="B51" s="73" t="s">
        <v>613</v>
      </c>
      <c r="C51" s="106">
        <f>$A$179</f>
        <v>0.83</v>
      </c>
      <c r="D51" s="114">
        <v>0.9</v>
      </c>
      <c r="E51" s="115">
        <v>0.75</v>
      </c>
      <c r="F51" s="89">
        <f t="shared" si="44"/>
        <v>0.56025000000000003</v>
      </c>
      <c r="G51" s="609">
        <f>$B$243</f>
        <v>0.46487603305785125</v>
      </c>
      <c r="H51" s="230" t="s">
        <v>608</v>
      </c>
      <c r="I51" s="11">
        <f t="shared" si="45"/>
        <v>0.26044679752066119</v>
      </c>
      <c r="J51" s="21" t="s">
        <v>608</v>
      </c>
      <c r="K51" s="92">
        <f>'AcreageTracking-MAP'!G101</f>
        <v>31.490320300314202</v>
      </c>
      <c r="L51" s="871" t="s">
        <v>366</v>
      </c>
      <c r="M51" s="60">
        <f t="shared" si="42"/>
        <v>120.90884050058662</v>
      </c>
      <c r="N51" s="10" t="s">
        <v>446</v>
      </c>
      <c r="O51" s="164">
        <f>'Equipment Rates 2025'!$E$10</f>
        <v>312.43</v>
      </c>
      <c r="P51" s="35" t="s">
        <v>537</v>
      </c>
      <c r="Q51" s="166">
        <f>'Labor Rates 2025'!$E$12</f>
        <v>48.03</v>
      </c>
      <c r="R51" t="s">
        <v>537</v>
      </c>
      <c r="S51" s="305">
        <f t="shared" si="43"/>
        <v>43582.800646841461</v>
      </c>
      <c r="T51" s="758">
        <v>50326.087240846886</v>
      </c>
    </row>
    <row r="52" spans="1:22" x14ac:dyDescent="0.25">
      <c r="A52" s="454" t="s">
        <v>327</v>
      </c>
      <c r="B52" s="73" t="s">
        <v>613</v>
      </c>
      <c r="C52" s="106">
        <f>$A$179</f>
        <v>0.83</v>
      </c>
      <c r="D52" s="114">
        <v>0.9</v>
      </c>
      <c r="E52" s="115">
        <v>0.75</v>
      </c>
      <c r="F52" s="89">
        <f t="shared" si="44"/>
        <v>0.56025000000000003</v>
      </c>
      <c r="G52" s="609">
        <f>$B$243</f>
        <v>0.46487603305785125</v>
      </c>
      <c r="H52" s="230" t="s">
        <v>608</v>
      </c>
      <c r="I52" s="11">
        <f t="shared" si="45"/>
        <v>0.26044679752066119</v>
      </c>
      <c r="J52" s="21" t="s">
        <v>608</v>
      </c>
      <c r="K52" s="92">
        <f>'AcreageTracking-MAP'!G24</f>
        <v>175.01652936479195</v>
      </c>
      <c r="L52" s="871" t="s">
        <v>366</v>
      </c>
      <c r="M52" s="60">
        <f t="shared" si="42"/>
        <v>671.98572234664516</v>
      </c>
      <c r="N52" s="10" t="s">
        <v>446</v>
      </c>
      <c r="O52" s="164">
        <f>'Equipment Rates 2025'!$E$10</f>
        <v>312.43</v>
      </c>
      <c r="P52" s="35" t="s">
        <v>537</v>
      </c>
      <c r="Q52" s="166">
        <f>'Labor Rates 2025'!$E$12</f>
        <v>48.03</v>
      </c>
      <c r="R52" t="s">
        <v>537</v>
      </c>
      <c r="S52" s="305">
        <f t="shared" si="43"/>
        <v>242223.97347707173</v>
      </c>
      <c r="T52" s="758">
        <v>334038.21650746756</v>
      </c>
    </row>
    <row r="53" spans="1:22" x14ac:dyDescent="0.25">
      <c r="A53" s="454" t="s">
        <v>611</v>
      </c>
      <c r="B53" s="73" t="s">
        <v>613</v>
      </c>
      <c r="C53" s="106">
        <f>$A$179</f>
        <v>0.83</v>
      </c>
      <c r="D53" s="114">
        <v>0.9</v>
      </c>
      <c r="E53" s="115">
        <v>0.75</v>
      </c>
      <c r="F53" s="89">
        <f t="shared" si="44"/>
        <v>0.56025000000000003</v>
      </c>
      <c r="G53" s="609">
        <f>$B$243</f>
        <v>0.46487603305785125</v>
      </c>
      <c r="H53" s="230" t="s">
        <v>608</v>
      </c>
      <c r="I53" s="11">
        <f t="shared" si="45"/>
        <v>0.26044679752066119</v>
      </c>
      <c r="J53" s="21" t="s">
        <v>608</v>
      </c>
      <c r="K53" s="92">
        <f>'AcreageTracking-MAP'!G17</f>
        <v>58.646649350903132</v>
      </c>
      <c r="L53" s="23" t="s">
        <v>366</v>
      </c>
      <c r="M53" s="60">
        <f t="shared" si="42"/>
        <v>225.17707996102624</v>
      </c>
      <c r="N53" s="10" t="s">
        <v>446</v>
      </c>
      <c r="O53" s="164">
        <f>'Equipment Rates 2025'!$E$10</f>
        <v>312.43</v>
      </c>
      <c r="P53" s="35" t="s">
        <v>537</v>
      </c>
      <c r="Q53" s="4">
        <f>'Labor Rates 2025'!$E$12</f>
        <v>48.03</v>
      </c>
      <c r="R53" t="s">
        <v>537</v>
      </c>
      <c r="S53" s="305">
        <f t="shared" si="43"/>
        <v>81167.33024275153</v>
      </c>
      <c r="T53" s="758">
        <v>81656.369755565465</v>
      </c>
    </row>
    <row r="54" spans="1:22" x14ac:dyDescent="0.25">
      <c r="A54" s="654"/>
      <c r="G54" s="230"/>
      <c r="H54" s="230"/>
      <c r="K54" s="73"/>
      <c r="S54" s="3"/>
      <c r="T54" s="21"/>
    </row>
    <row r="55" spans="1:22" x14ac:dyDescent="0.25">
      <c r="A55" s="375" t="s">
        <v>622</v>
      </c>
      <c r="B55" s="30"/>
      <c r="C55" s="107"/>
      <c r="D55" s="116"/>
      <c r="E55" s="117"/>
      <c r="F55" s="26"/>
      <c r="G55" s="607"/>
      <c r="H55" s="607"/>
      <c r="I55" s="30"/>
      <c r="J55" s="30"/>
      <c r="K55" s="79"/>
      <c r="L55" s="30"/>
      <c r="M55" s="57"/>
      <c r="N55" s="31"/>
      <c r="O55" s="165"/>
      <c r="P55" s="30"/>
      <c r="Q55" s="42"/>
      <c r="R55" s="30"/>
      <c r="S55" s="26"/>
      <c r="T55" s="21"/>
    </row>
    <row r="56" spans="1:22" x14ac:dyDescent="0.25">
      <c r="A56" s="454" t="s">
        <v>321</v>
      </c>
      <c r="B56" t="s">
        <v>1771</v>
      </c>
      <c r="C56" s="319">
        <f>$B$179</f>
        <v>0.75</v>
      </c>
      <c r="D56" s="112">
        <v>0.95</v>
      </c>
      <c r="E56" s="113">
        <v>0.9</v>
      </c>
      <c r="F56" s="228">
        <f>C56*D56*E56</f>
        <v>0.64124999999999999</v>
      </c>
      <c r="G56" s="320">
        <f>E338</f>
        <v>806.92375109553006</v>
      </c>
      <c r="H56" s="230" t="s">
        <v>614</v>
      </c>
      <c r="I56" s="249">
        <f>G56*F56</f>
        <v>517.43985539000869</v>
      </c>
      <c r="J56" s="21" t="s">
        <v>614</v>
      </c>
      <c r="K56" s="73">
        <f>$B$536</f>
        <v>265200</v>
      </c>
      <c r="L56" s="328" t="s">
        <v>20</v>
      </c>
      <c r="M56" s="234">
        <f>K56/I56</f>
        <v>512.52333433054059</v>
      </c>
      <c r="N56" s="235" t="s">
        <v>446</v>
      </c>
      <c r="O56" s="247">
        <f>E340</f>
        <v>604.13</v>
      </c>
      <c r="P56" s="237" t="s">
        <v>537</v>
      </c>
      <c r="Q56" s="4"/>
      <c r="R56" s="237"/>
      <c r="S56" s="613">
        <f>(O56+Q56)*M56</f>
        <v>309630.72196910949</v>
      </c>
      <c r="T56" s="758">
        <v>309630.72196910949</v>
      </c>
      <c r="U56" s="73" t="s">
        <v>605</v>
      </c>
    </row>
    <row r="57" spans="1:22" x14ac:dyDescent="0.25">
      <c r="A57" s="454"/>
      <c r="G57" s="230"/>
      <c r="H57" s="230"/>
      <c r="K57" s="73"/>
      <c r="L57" s="366"/>
      <c r="S57" s="3"/>
      <c r="T57" s="45"/>
    </row>
    <row r="58" spans="1:22" x14ac:dyDescent="0.25">
      <c r="A58" s="375" t="s">
        <v>625</v>
      </c>
      <c r="B58" s="30"/>
      <c r="C58" s="27"/>
      <c r="D58" s="28"/>
      <c r="E58" s="29"/>
      <c r="F58" s="26"/>
      <c r="G58" s="607"/>
      <c r="H58" s="607"/>
      <c r="I58" s="576" t="s">
        <v>623</v>
      </c>
      <c r="J58" s="577"/>
      <c r="K58" s="755">
        <f>B663</f>
        <v>6250166.7229195386</v>
      </c>
      <c r="L58" s="578" t="s">
        <v>20</v>
      </c>
      <c r="M58" s="57"/>
      <c r="N58" s="31"/>
      <c r="O58" s="165"/>
      <c r="P58" s="30"/>
      <c r="Q58" s="42"/>
      <c r="R58" s="30"/>
      <c r="S58" s="26"/>
      <c r="T58" s="45"/>
      <c r="U58" s="73" t="s">
        <v>605</v>
      </c>
      <c r="V58" s="73" t="s">
        <v>2150</v>
      </c>
    </row>
    <row r="59" spans="1:22" x14ac:dyDescent="0.25">
      <c r="A59" s="454" t="s">
        <v>626</v>
      </c>
      <c r="C59" s="12"/>
      <c r="D59" s="2"/>
      <c r="E59" s="13"/>
      <c r="F59" s="3"/>
      <c r="G59" s="201"/>
      <c r="H59" s="201"/>
      <c r="I59" s="26" t="s">
        <v>624</v>
      </c>
      <c r="J59" s="30"/>
      <c r="K59" s="755">
        <f>'AcreageTracking-MAP'!G112</f>
        <v>1870.6550707272183</v>
      </c>
      <c r="L59" s="26" t="s">
        <v>366</v>
      </c>
      <c r="M59" s="24"/>
      <c r="N59" s="25"/>
      <c r="O59" s="164"/>
      <c r="Q59" s="163"/>
      <c r="S59" s="3"/>
      <c r="T59" s="45"/>
      <c r="V59" t="s">
        <v>2151</v>
      </c>
    </row>
    <row r="60" spans="1:22" x14ac:dyDescent="0.25">
      <c r="A60" s="454" t="s">
        <v>627</v>
      </c>
      <c r="B60" t="s">
        <v>1776</v>
      </c>
      <c r="C60" s="227">
        <f>$B$179</f>
        <v>0.75</v>
      </c>
      <c r="D60" s="114">
        <v>0.95</v>
      </c>
      <c r="E60" s="115">
        <v>0.9</v>
      </c>
      <c r="F60" s="228">
        <f t="shared" ref="F60:F64" si="46">C60*D60*E60</f>
        <v>0.64124999999999999</v>
      </c>
      <c r="G60" s="320">
        <f>$C$294</f>
        <v>1344.6985446985448</v>
      </c>
      <c r="H60" s="230" t="s">
        <v>614</v>
      </c>
      <c r="I60" s="5">
        <f>G60*F60</f>
        <v>862.2879417879418</v>
      </c>
      <c r="J60" t="s">
        <v>614</v>
      </c>
      <c r="K60" s="294">
        <f>$D$646</f>
        <v>319851.659084282</v>
      </c>
      <c r="L60" t="s">
        <v>20</v>
      </c>
      <c r="M60" s="584">
        <f>K60/I60</f>
        <v>370.93370275023693</v>
      </c>
      <c r="N60" s="10" t="s">
        <v>446</v>
      </c>
      <c r="O60" s="238">
        <f>$C$296</f>
        <v>2475.59</v>
      </c>
      <c r="P60" s="35" t="s">
        <v>537</v>
      </c>
      <c r="Q60" s="163"/>
      <c r="S60" s="613">
        <f t="shared" ref="S60:S66" si="47">(O60+Q60)*M60</f>
        <v>918279.7651914591</v>
      </c>
      <c r="T60" s="758">
        <v>1165831.2800474898</v>
      </c>
      <c r="U60" t="s">
        <v>628</v>
      </c>
    </row>
    <row r="61" spans="1:22" x14ac:dyDescent="0.25">
      <c r="A61" s="322" t="s">
        <v>629</v>
      </c>
      <c r="B61" t="s">
        <v>630</v>
      </c>
      <c r="C61" s="227">
        <f>$A$179</f>
        <v>0.83</v>
      </c>
      <c r="D61" s="114">
        <v>0.95</v>
      </c>
      <c r="E61" s="115">
        <v>0.75</v>
      </c>
      <c r="F61" s="228">
        <f>C61*D61*E61</f>
        <v>0.59137499999999998</v>
      </c>
      <c r="G61" s="320">
        <f>$B$245*2</f>
        <v>1200</v>
      </c>
      <c r="H61" s="230" t="s">
        <v>614</v>
      </c>
      <c r="I61" s="5">
        <f>G61*F61</f>
        <v>709.65</v>
      </c>
      <c r="J61" t="s">
        <v>614</v>
      </c>
      <c r="K61" s="294">
        <f>$D$646</f>
        <v>319851.659084282</v>
      </c>
      <c r="L61" t="s">
        <v>20</v>
      </c>
      <c r="M61" s="584">
        <f>K61/I61</f>
        <v>450.71747915772846</v>
      </c>
      <c r="N61" s="10" t="s">
        <v>446</v>
      </c>
      <c r="O61" s="166">
        <f>'Equipment Rates 2025'!$E$10*2</f>
        <v>624.86</v>
      </c>
      <c r="P61" s="35" t="s">
        <v>537</v>
      </c>
      <c r="Q61" s="164">
        <f>'Labor Rates 2025'!$E$12*2</f>
        <v>96.06</v>
      </c>
      <c r="R61" s="35" t="s">
        <v>537</v>
      </c>
      <c r="S61" s="613">
        <f t="shared" si="47"/>
        <v>324931.24507438962</v>
      </c>
      <c r="T61" s="758">
        <v>703282.59877970349</v>
      </c>
    </row>
    <row r="62" spans="1:22" x14ac:dyDescent="0.25">
      <c r="A62" s="454" t="s">
        <v>631</v>
      </c>
      <c r="B62" t="s">
        <v>1776</v>
      </c>
      <c r="C62" s="227">
        <f>$B$179</f>
        <v>0.75</v>
      </c>
      <c r="D62" s="114">
        <v>0.95</v>
      </c>
      <c r="E62" s="115">
        <v>0.9</v>
      </c>
      <c r="F62" s="228">
        <f t="shared" si="46"/>
        <v>0.64124999999999999</v>
      </c>
      <c r="G62" s="320">
        <f>$D$294</f>
        <v>1261.2657330260593</v>
      </c>
      <c r="H62" s="230" t="s">
        <v>614</v>
      </c>
      <c r="I62" s="5">
        <f t="shared" ref="I62:I64" si="48">G62*F62</f>
        <v>808.78665130296042</v>
      </c>
      <c r="J62" t="s">
        <v>614</v>
      </c>
      <c r="K62" s="294">
        <f>$E$646</f>
        <v>28770.544951018808</v>
      </c>
      <c r="L62" t="s">
        <v>20</v>
      </c>
      <c r="M62" s="584">
        <f t="shared" ref="M62:M64" si="49">K62/I62</f>
        <v>35.572477494119468</v>
      </c>
      <c r="N62" s="10" t="s">
        <v>446</v>
      </c>
      <c r="O62" s="163">
        <f>$D$296</f>
        <v>2475.59</v>
      </c>
      <c r="P62" s="35" t="s">
        <v>537</v>
      </c>
      <c r="Q62" s="163"/>
      <c r="S62" s="613">
        <f t="shared" si="47"/>
        <v>88062.869559667219</v>
      </c>
      <c r="T62" s="758">
        <v>121867.55122121009</v>
      </c>
      <c r="U62" t="s">
        <v>628</v>
      </c>
    </row>
    <row r="63" spans="1:22" x14ac:dyDescent="0.25">
      <c r="A63" s="322" t="s">
        <v>629</v>
      </c>
      <c r="B63" t="s">
        <v>630</v>
      </c>
      <c r="C63" s="227">
        <f>$A$179</f>
        <v>0.83</v>
      </c>
      <c r="D63" s="114">
        <v>0.95</v>
      </c>
      <c r="E63" s="115">
        <v>0.75</v>
      </c>
      <c r="F63" s="228">
        <f>C63*D63*E63</f>
        <v>0.59137499999999998</v>
      </c>
      <c r="G63" s="320">
        <f>$B$245*2</f>
        <v>1200</v>
      </c>
      <c r="H63" s="230" t="s">
        <v>614</v>
      </c>
      <c r="I63" s="5">
        <f>G63*F63</f>
        <v>709.65</v>
      </c>
      <c r="J63" t="s">
        <v>614</v>
      </c>
      <c r="K63" s="294">
        <f>$E$646</f>
        <v>28770.544951018808</v>
      </c>
      <c r="L63" t="s">
        <v>20</v>
      </c>
      <c r="M63" s="584">
        <f>K63/I63</f>
        <v>40.541879730879742</v>
      </c>
      <c r="N63" s="10" t="s">
        <v>446</v>
      </c>
      <c r="O63" s="166">
        <f>'Equipment Rates 2025'!$E$10*2</f>
        <v>624.86</v>
      </c>
      <c r="P63" s="35" t="s">
        <v>537</v>
      </c>
      <c r="Q63" s="164">
        <f>'Labor Rates 2025'!$E$12*2</f>
        <v>96.06</v>
      </c>
      <c r="R63" s="35" t="s">
        <v>537</v>
      </c>
      <c r="S63" s="613">
        <f t="shared" si="47"/>
        <v>29227.451935585828</v>
      </c>
      <c r="T63" s="758">
        <v>68954.706570497176</v>
      </c>
    </row>
    <row r="64" spans="1:22" x14ac:dyDescent="0.25">
      <c r="A64" s="454" t="s">
        <v>2080</v>
      </c>
      <c r="B64" t="s">
        <v>1776</v>
      </c>
      <c r="C64" s="227">
        <f>$B$179</f>
        <v>0.75</v>
      </c>
      <c r="D64" s="114">
        <v>0.95</v>
      </c>
      <c r="E64" s="115">
        <v>0.9</v>
      </c>
      <c r="F64" s="228">
        <f t="shared" si="46"/>
        <v>0.64124999999999999</v>
      </c>
      <c r="G64" s="320">
        <f>$E$294</f>
        <v>1373.0187319884726</v>
      </c>
      <c r="H64" s="230" t="s">
        <v>614</v>
      </c>
      <c r="I64" s="5">
        <f t="shared" si="48"/>
        <v>880.44826188760806</v>
      </c>
      <c r="J64" t="s">
        <v>614</v>
      </c>
      <c r="K64" s="294">
        <f>$F$646</f>
        <v>311758.77243283903</v>
      </c>
      <c r="L64" t="s">
        <v>20</v>
      </c>
      <c r="M64" s="584">
        <f t="shared" si="49"/>
        <v>354.09096244276077</v>
      </c>
      <c r="N64" s="10" t="s">
        <v>446</v>
      </c>
      <c r="O64" s="163">
        <f>$E$296</f>
        <v>3226.34</v>
      </c>
      <c r="P64" s="35" t="s">
        <v>537</v>
      </c>
      <c r="Q64" s="163"/>
      <c r="S64" s="613">
        <f t="shared" si="47"/>
        <v>1142417.8357675769</v>
      </c>
      <c r="T64" s="758">
        <v>2387667.2405617107</v>
      </c>
      <c r="U64" t="s">
        <v>628</v>
      </c>
      <c r="V64" t="s">
        <v>2152</v>
      </c>
    </row>
    <row r="65" spans="1:22" x14ac:dyDescent="0.25">
      <c r="A65" s="322" t="s">
        <v>629</v>
      </c>
      <c r="B65" t="s">
        <v>630</v>
      </c>
      <c r="C65" s="227">
        <f>$A$179</f>
        <v>0.83</v>
      </c>
      <c r="D65" s="114">
        <v>0.9</v>
      </c>
      <c r="E65" s="115">
        <v>0.75</v>
      </c>
      <c r="F65" s="228">
        <f>C65*D65*E65</f>
        <v>0.56025000000000003</v>
      </c>
      <c r="G65" s="320">
        <f>$B$245*2</f>
        <v>1200</v>
      </c>
      <c r="H65" s="230" t="s">
        <v>614</v>
      </c>
      <c r="I65" s="5">
        <f t="shared" ref="I65:I71" si="50">G65*F65</f>
        <v>672.30000000000007</v>
      </c>
      <c r="J65" t="s">
        <v>614</v>
      </c>
      <c r="K65" s="294">
        <f>$F$646</f>
        <v>311758.77243283903</v>
      </c>
      <c r="L65" t="s">
        <v>20</v>
      </c>
      <c r="M65" s="584">
        <f>K65/I65</f>
        <v>463.71972695647628</v>
      </c>
      <c r="N65" s="10" t="s">
        <v>446</v>
      </c>
      <c r="O65" s="166">
        <f>'Equipment Rates 2025'!$E$10*2</f>
        <v>624.86</v>
      </c>
      <c r="P65" s="35" t="s">
        <v>537</v>
      </c>
      <c r="Q65" s="164">
        <f>'Labor Rates 2025'!$E$12*2</f>
        <v>96.06</v>
      </c>
      <c r="R65" s="35" t="s">
        <v>537</v>
      </c>
      <c r="S65" s="613">
        <f t="shared" si="47"/>
        <v>334304.82555746293</v>
      </c>
      <c r="T65" s="758">
        <v>1233521.1344994719</v>
      </c>
      <c r="V65" t="s">
        <v>2152</v>
      </c>
    </row>
    <row r="66" spans="1:22" x14ac:dyDescent="0.25">
      <c r="A66" s="454" t="s">
        <v>2081</v>
      </c>
      <c r="B66" t="s">
        <v>2153</v>
      </c>
      <c r="C66" s="227">
        <f>$B$179</f>
        <v>0.75</v>
      </c>
      <c r="D66" s="114">
        <v>0.95</v>
      </c>
      <c r="E66" s="115">
        <v>0.9</v>
      </c>
      <c r="F66" s="228">
        <f t="shared" ref="F66" si="51">C66*D66*E66</f>
        <v>0.64124999999999999</v>
      </c>
      <c r="G66" s="320">
        <f>C338</f>
        <v>427.58620689655169</v>
      </c>
      <c r="H66" s="230" t="s">
        <v>614</v>
      </c>
      <c r="I66" s="5">
        <f t="shared" si="50"/>
        <v>274.18965517241378</v>
      </c>
      <c r="J66" t="s">
        <v>614</v>
      </c>
      <c r="K66" s="294">
        <f>$F$652</f>
        <v>4837.5742294239408</v>
      </c>
      <c r="L66" t="s">
        <v>20</v>
      </c>
      <c r="M66" s="584">
        <f>K66/I66</f>
        <v>17.643168289416373</v>
      </c>
      <c r="N66" s="10" t="s">
        <v>446</v>
      </c>
      <c r="O66" s="166">
        <f>C340</f>
        <v>604.13</v>
      </c>
      <c r="P66" s="35" t="s">
        <v>537</v>
      </c>
      <c r="Q66" s="163"/>
      <c r="S66" s="613">
        <f t="shared" si="47"/>
        <v>10658.767258685113</v>
      </c>
      <c r="T66" s="758">
        <v>48560.550156068646</v>
      </c>
      <c r="U66" t="s">
        <v>628</v>
      </c>
      <c r="V66" t="s">
        <v>2152</v>
      </c>
    </row>
    <row r="67" spans="1:22" x14ac:dyDescent="0.25">
      <c r="A67" s="322" t="s">
        <v>632</v>
      </c>
      <c r="B67" t="s">
        <v>633</v>
      </c>
      <c r="C67" s="227">
        <f>$A$179</f>
        <v>0.83</v>
      </c>
      <c r="D67" s="114">
        <v>0.9</v>
      </c>
      <c r="E67" s="115">
        <v>0.75</v>
      </c>
      <c r="F67" s="228">
        <f>C67*D67*E67</f>
        <v>0.56025000000000003</v>
      </c>
      <c r="G67" s="320">
        <f>$B$218*2</f>
        <v>500</v>
      </c>
      <c r="H67" s="230" t="s">
        <v>614</v>
      </c>
      <c r="I67" s="5">
        <f>G67*F67</f>
        <v>280.125</v>
      </c>
      <c r="J67" t="s">
        <v>614</v>
      </c>
      <c r="K67" s="294">
        <f>$F$652</f>
        <v>4837.5742294239408</v>
      </c>
      <c r="L67" t="s">
        <v>20</v>
      </c>
      <c r="M67" s="584">
        <f>K67/I67</f>
        <v>17.269341292008715</v>
      </c>
      <c r="N67" s="10" t="s">
        <v>446</v>
      </c>
      <c r="O67" s="703">
        <f>'Equipment Rates 2025'!$E$9*2</f>
        <v>332.58</v>
      </c>
      <c r="P67" s="35" t="s">
        <v>537</v>
      </c>
      <c r="Q67" s="164">
        <f>'Labor Rates 2025'!$E$12*2</f>
        <v>96.06</v>
      </c>
      <c r="R67" s="35" t="s">
        <v>537</v>
      </c>
      <c r="S67" s="613">
        <f t="shared" ref="S67:S68" si="52">(O67+Q67)*M67</f>
        <v>7402.3304514066149</v>
      </c>
      <c r="T67" s="758">
        <v>33724.466482221418</v>
      </c>
      <c r="V67" t="s">
        <v>2152</v>
      </c>
    </row>
    <row r="68" spans="1:22" x14ac:dyDescent="0.25">
      <c r="A68" s="454" t="s">
        <v>634</v>
      </c>
      <c r="B68" t="s">
        <v>2108</v>
      </c>
      <c r="C68" s="227">
        <f>$B$179</f>
        <v>0.75</v>
      </c>
      <c r="D68" s="114">
        <v>0.95</v>
      </c>
      <c r="E68" s="115">
        <v>0.9</v>
      </c>
      <c r="F68" s="228">
        <f>C68*D68*E68</f>
        <v>0.64124999999999999</v>
      </c>
      <c r="G68" s="320">
        <f>F294</f>
        <v>1344.6985446985448</v>
      </c>
      <c r="H68" s="230" t="s">
        <v>614</v>
      </c>
      <c r="I68" s="5">
        <f t="shared" si="50"/>
        <v>862.2879417879418</v>
      </c>
      <c r="J68" t="s">
        <v>614</v>
      </c>
      <c r="K68" s="294">
        <f>$B$646</f>
        <v>2474101.0550374035</v>
      </c>
      <c r="L68" t="s">
        <v>20</v>
      </c>
      <c r="M68" s="584">
        <f>K68/I68</f>
        <v>2869.2284040379714</v>
      </c>
      <c r="N68" s="10" t="s">
        <v>446</v>
      </c>
      <c r="O68" s="166">
        <f>$F$296</f>
        <v>3455.24</v>
      </c>
      <c r="P68" s="35" t="s">
        <v>537</v>
      </c>
      <c r="Q68" s="163"/>
      <c r="S68" s="613">
        <f t="shared" si="52"/>
        <v>9913872.7507681604</v>
      </c>
      <c r="T68" s="758">
        <v>9207932.0194494091</v>
      </c>
      <c r="U68" t="s">
        <v>628</v>
      </c>
    </row>
    <row r="69" spans="1:22" x14ac:dyDescent="0.25">
      <c r="A69" s="322" t="s">
        <v>629</v>
      </c>
      <c r="B69" t="s">
        <v>635</v>
      </c>
      <c r="C69" s="227">
        <f>$A$179</f>
        <v>0.83</v>
      </c>
      <c r="D69" s="114">
        <v>0.9</v>
      </c>
      <c r="E69" s="115">
        <v>0.75</v>
      </c>
      <c r="F69" s="228">
        <f>C69*D69*E69</f>
        <v>0.56025000000000003</v>
      </c>
      <c r="G69" s="320">
        <f>$B$245</f>
        <v>600</v>
      </c>
      <c r="H69" s="230" t="s">
        <v>614</v>
      </c>
      <c r="I69" s="5">
        <f t="shared" si="50"/>
        <v>336.15000000000003</v>
      </c>
      <c r="J69" t="s">
        <v>614</v>
      </c>
      <c r="K69" s="294">
        <f>$B$646</f>
        <v>2474101.0550374035</v>
      </c>
      <c r="L69" t="s">
        <v>20</v>
      </c>
      <c r="M69" s="584">
        <f>K69/I69</f>
        <v>7360.110233637969</v>
      </c>
      <c r="N69" s="10" t="s">
        <v>446</v>
      </c>
      <c r="O69" s="166">
        <f>'Equipment Rates 2025'!$E$10</f>
        <v>312.43</v>
      </c>
      <c r="P69" s="35" t="s">
        <v>537</v>
      </c>
      <c r="Q69" s="164">
        <f>'Labor Rates 2025'!$E$12</f>
        <v>48.03</v>
      </c>
      <c r="R69" s="35" t="s">
        <v>537</v>
      </c>
      <c r="S69" s="613">
        <f t="shared" ref="S69:S70" si="53">(O69+Q69)*M69</f>
        <v>2653025.3348171427</v>
      </c>
      <c r="T69" s="758">
        <v>2464110.3979250113</v>
      </c>
    </row>
    <row r="70" spans="1:22" x14ac:dyDescent="0.25">
      <c r="A70" s="454" t="s">
        <v>636</v>
      </c>
      <c r="B70" t="s">
        <v>1950</v>
      </c>
      <c r="C70" s="227">
        <f>$B$179</f>
        <v>0.75</v>
      </c>
      <c r="D70" s="114">
        <v>0.95</v>
      </c>
      <c r="E70" s="115">
        <v>0.9</v>
      </c>
      <c r="F70" s="228">
        <f>C70*D70*E70</f>
        <v>0.64124999999999999</v>
      </c>
      <c r="G70" s="320">
        <f>D338</f>
        <v>347.6635514018692</v>
      </c>
      <c r="H70" s="230" t="s">
        <v>614</v>
      </c>
      <c r="I70" s="5">
        <f t="shared" si="50"/>
        <v>222.93925233644862</v>
      </c>
      <c r="J70" t="s">
        <v>614</v>
      </c>
      <c r="K70" s="294">
        <f>$B$652</f>
        <v>294836.66666666669</v>
      </c>
      <c r="L70" t="s">
        <v>20</v>
      </c>
      <c r="M70" s="584">
        <f t="shared" ref="M70:M72" si="54">K70/I70</f>
        <v>1322.4977816903868</v>
      </c>
      <c r="N70" s="10" t="s">
        <v>446</v>
      </c>
      <c r="O70" s="217">
        <f>D340</f>
        <v>604.13</v>
      </c>
      <c r="P70" s="35" t="s">
        <v>537</v>
      </c>
      <c r="Q70" s="163"/>
      <c r="S70" s="613">
        <f t="shared" si="53"/>
        <v>798960.58485261339</v>
      </c>
      <c r="T70" s="758">
        <v>798960.58485261339</v>
      </c>
      <c r="U70" t="s">
        <v>628</v>
      </c>
    </row>
    <row r="71" spans="1:22" x14ac:dyDescent="0.25">
      <c r="A71" s="322" t="s">
        <v>632</v>
      </c>
      <c r="B71" t="s">
        <v>633</v>
      </c>
      <c r="C71" s="227">
        <f>$A$179</f>
        <v>0.83</v>
      </c>
      <c r="D71" s="114">
        <v>0.9</v>
      </c>
      <c r="E71" s="115">
        <v>0.75</v>
      </c>
      <c r="F71" s="228">
        <f>C71*D71*E71</f>
        <v>0.56025000000000003</v>
      </c>
      <c r="G71" s="320">
        <f>$B$218*2</f>
        <v>500</v>
      </c>
      <c r="H71" s="230" t="s">
        <v>614</v>
      </c>
      <c r="I71" s="5">
        <f t="shared" si="50"/>
        <v>280.125</v>
      </c>
      <c r="J71" t="s">
        <v>614</v>
      </c>
      <c r="K71" s="294">
        <f>$B$652</f>
        <v>294836.66666666669</v>
      </c>
      <c r="L71" t="s">
        <v>20</v>
      </c>
      <c r="M71" s="584">
        <f t="shared" si="54"/>
        <v>1052.5182210322773</v>
      </c>
      <c r="N71" s="10" t="s">
        <v>446</v>
      </c>
      <c r="O71" s="166">
        <f>'Equipment Rates 2025'!$E$9*2</f>
        <v>332.58</v>
      </c>
      <c r="P71" s="35" t="s">
        <v>537</v>
      </c>
      <c r="Q71" s="164">
        <f>'Labor Rates 2025'!$E$12*2</f>
        <v>96.06</v>
      </c>
      <c r="R71" s="35" t="s">
        <v>537</v>
      </c>
      <c r="S71" s="613">
        <f t="shared" ref="S71:S73" si="55">(O71+Q71)*M71</f>
        <v>451151.41026327532</v>
      </c>
      <c r="T71" s="758">
        <v>451151.41026327532</v>
      </c>
    </row>
    <row r="72" spans="1:22" x14ac:dyDescent="0.25">
      <c r="A72" s="454" t="s">
        <v>1877</v>
      </c>
      <c r="B72" t="s">
        <v>1776</v>
      </c>
      <c r="C72" s="227">
        <f>$B$179</f>
        <v>0.75</v>
      </c>
      <c r="D72" s="114">
        <v>0.95</v>
      </c>
      <c r="E72" s="115">
        <v>0.9</v>
      </c>
      <c r="F72" s="228">
        <f t="shared" ref="F72" si="56">C72*D72*E72</f>
        <v>0.64124999999999999</v>
      </c>
      <c r="G72" s="320">
        <f>$I$294</f>
        <v>1338.0530973451325</v>
      </c>
      <c r="H72" s="230" t="s">
        <v>614</v>
      </c>
      <c r="I72" s="5">
        <f t="shared" ref="I72" si="57">G72*F72</f>
        <v>858.02654867256626</v>
      </c>
      <c r="J72" t="s">
        <v>614</v>
      </c>
      <c r="K72" s="294">
        <f>$F$618</f>
        <v>46974.018152058867</v>
      </c>
      <c r="L72" t="s">
        <v>20</v>
      </c>
      <c r="M72" s="584">
        <f t="shared" si="54"/>
        <v>54.74657890799687</v>
      </c>
      <c r="N72" s="10" t="s">
        <v>446</v>
      </c>
      <c r="O72" s="163">
        <f>$I$296</f>
        <v>2225.34</v>
      </c>
      <c r="P72" s="35" t="s">
        <v>537</v>
      </c>
      <c r="Q72" s="163"/>
      <c r="S72" s="613">
        <f t="shared" si="55"/>
        <v>121829.75190712177</v>
      </c>
      <c r="T72" s="758">
        <v>141290.82207111729</v>
      </c>
      <c r="U72" t="s">
        <v>628</v>
      </c>
    </row>
    <row r="73" spans="1:22" x14ac:dyDescent="0.25">
      <c r="A73" s="322" t="s">
        <v>629</v>
      </c>
      <c r="B73" t="s">
        <v>630</v>
      </c>
      <c r="C73" s="227">
        <f>$A$179</f>
        <v>0.83</v>
      </c>
      <c r="D73" s="114">
        <v>0.9</v>
      </c>
      <c r="E73" s="115">
        <v>0.75</v>
      </c>
      <c r="F73" s="228">
        <f>C73*D73*E73</f>
        <v>0.56025000000000003</v>
      </c>
      <c r="G73" s="320">
        <f>$B$245*2</f>
        <v>1200</v>
      </c>
      <c r="H73" s="230" t="s">
        <v>614</v>
      </c>
      <c r="I73" s="5">
        <f>G73*F73</f>
        <v>672.30000000000007</v>
      </c>
      <c r="J73" t="s">
        <v>614</v>
      </c>
      <c r="K73" s="294">
        <f>K72</f>
        <v>46974.018152058867</v>
      </c>
      <c r="L73" t="s">
        <v>20</v>
      </c>
      <c r="M73" s="584">
        <f>K73/I73</f>
        <v>69.870620484990127</v>
      </c>
      <c r="N73" s="10" t="s">
        <v>446</v>
      </c>
      <c r="O73" s="703">
        <f>'Equipment Rates 2025'!$E$10*2</f>
        <v>624.86</v>
      </c>
      <c r="P73" s="35" t="s">
        <v>537</v>
      </c>
      <c r="Q73" s="164">
        <f>'Labor Rates 2025'!$E$12*2</f>
        <v>96.06</v>
      </c>
      <c r="R73" s="35" t="s">
        <v>537</v>
      </c>
      <c r="S73" s="613">
        <f t="shared" si="55"/>
        <v>50371.12772003909</v>
      </c>
      <c r="T73" s="758">
        <v>97965.010748896937</v>
      </c>
    </row>
    <row r="74" spans="1:22" x14ac:dyDescent="0.25">
      <c r="A74" s="454" t="s">
        <v>1878</v>
      </c>
      <c r="B74" t="s">
        <v>2154</v>
      </c>
      <c r="C74" s="227">
        <f t="shared" ref="C74" si="58">$B$179</f>
        <v>0.75</v>
      </c>
      <c r="D74" s="114">
        <v>0.95</v>
      </c>
      <c r="E74" s="115">
        <v>0.9</v>
      </c>
      <c r="F74" s="228">
        <f t="shared" ref="F74" si="59">C74*D74*E74</f>
        <v>0.64124999999999999</v>
      </c>
      <c r="G74" s="320">
        <f>H294</f>
        <v>1344.6985446985448</v>
      </c>
      <c r="H74" s="230" t="s">
        <v>614</v>
      </c>
      <c r="I74" s="5">
        <f>G74*F74</f>
        <v>862.2879417879418</v>
      </c>
      <c r="J74" t="s">
        <v>614</v>
      </c>
      <c r="K74" s="294">
        <f>$N$618</f>
        <v>149875.11627665875</v>
      </c>
      <c r="L74" t="s">
        <v>20</v>
      </c>
      <c r="M74" s="584">
        <f>K74/I74</f>
        <v>173.8109847226842</v>
      </c>
      <c r="N74" s="10" t="s">
        <v>446</v>
      </c>
      <c r="O74" s="166">
        <f>H296</f>
        <v>2475.59</v>
      </c>
      <c r="P74" s="35" t="s">
        <v>537</v>
      </c>
      <c r="Q74" s="163"/>
      <c r="S74" s="613">
        <f t="shared" ref="S74:S75" si="60">(O74+Q74)*M74</f>
        <v>430284.73566962982</v>
      </c>
      <c r="T74" s="758">
        <v>397157.43364291056</v>
      </c>
      <c r="U74" t="s">
        <v>628</v>
      </c>
    </row>
    <row r="75" spans="1:22" x14ac:dyDescent="0.25">
      <c r="A75" s="322" t="s">
        <v>629</v>
      </c>
      <c r="B75" t="s">
        <v>630</v>
      </c>
      <c r="C75" s="227">
        <f>$A$179</f>
        <v>0.83</v>
      </c>
      <c r="D75" s="114">
        <v>0.9</v>
      </c>
      <c r="E75" s="115">
        <v>0.75</v>
      </c>
      <c r="F75" s="228">
        <f>C75*D75*E75</f>
        <v>0.56025000000000003</v>
      </c>
      <c r="G75" s="320">
        <f>$B$245*2</f>
        <v>1200</v>
      </c>
      <c r="H75" s="230" t="s">
        <v>614</v>
      </c>
      <c r="I75" s="5">
        <f>G75*F75</f>
        <v>672.30000000000007</v>
      </c>
      <c r="J75" t="s">
        <v>614</v>
      </c>
      <c r="K75" s="294">
        <f>$N$618</f>
        <v>149875.11627665875</v>
      </c>
      <c r="L75" t="s">
        <v>20</v>
      </c>
      <c r="M75" s="584">
        <f>K75/I75</f>
        <v>222.92892499874867</v>
      </c>
      <c r="N75" s="10" t="s">
        <v>446</v>
      </c>
      <c r="O75" s="703">
        <f>'Equipment Rates 2025'!$E$10*2</f>
        <v>624.86</v>
      </c>
      <c r="P75" s="35" t="s">
        <v>537</v>
      </c>
      <c r="Q75" s="164">
        <f>'Labor Rates 2025'!$E$12*2</f>
        <v>96.06</v>
      </c>
      <c r="R75" s="35" t="s">
        <v>537</v>
      </c>
      <c r="S75" s="613">
        <f t="shared" si="60"/>
        <v>160713.92061009791</v>
      </c>
      <c r="T75" s="758">
        <v>252893.67051789828</v>
      </c>
    </row>
    <row r="76" spans="1:22" x14ac:dyDescent="0.25">
      <c r="A76" s="454" t="s">
        <v>277</v>
      </c>
      <c r="B76" t="s">
        <v>398</v>
      </c>
      <c r="C76" s="12"/>
      <c r="D76" s="2"/>
      <c r="E76" s="13"/>
      <c r="F76" s="3"/>
      <c r="G76" s="230"/>
      <c r="H76" s="230"/>
      <c r="K76" s="73"/>
      <c r="M76" s="241"/>
      <c r="N76" s="10"/>
      <c r="O76" s="164"/>
      <c r="Q76" s="163"/>
      <c r="S76" s="305">
        <v>0</v>
      </c>
      <c r="T76" s="758">
        <v>0</v>
      </c>
      <c r="U76" s="164" t="s">
        <v>399</v>
      </c>
    </row>
    <row r="77" spans="1:22" x14ac:dyDescent="0.25">
      <c r="A77" s="454" t="s">
        <v>317</v>
      </c>
      <c r="B77" t="s">
        <v>637</v>
      </c>
      <c r="C77" s="214"/>
      <c r="D77" s="114"/>
      <c r="E77" s="114"/>
      <c r="F77" s="89"/>
      <c r="G77" s="230"/>
      <c r="H77" s="230"/>
      <c r="I77" s="11"/>
      <c r="J77" s="21"/>
      <c r="K77" s="73"/>
      <c r="L77" s="871"/>
      <c r="M77" s="5"/>
      <c r="O77" s="164"/>
      <c r="P77" s="35"/>
      <c r="Q77" s="163"/>
      <c r="S77" s="305">
        <v>0</v>
      </c>
      <c r="T77" s="758">
        <v>0</v>
      </c>
    </row>
    <row r="78" spans="1:22" x14ac:dyDescent="0.25">
      <c r="A78" s="454" t="s">
        <v>278</v>
      </c>
      <c r="B78" t="s">
        <v>398</v>
      </c>
      <c r="C78" s="12"/>
      <c r="D78" s="2"/>
      <c r="E78" s="13"/>
      <c r="F78" s="3"/>
      <c r="G78" s="230"/>
      <c r="H78" s="230"/>
      <c r="K78" s="73"/>
      <c r="M78" s="241"/>
      <c r="N78" s="10"/>
      <c r="O78" s="164"/>
      <c r="Q78" s="163"/>
      <c r="S78" s="305">
        <v>0</v>
      </c>
      <c r="T78" s="758">
        <v>0</v>
      </c>
      <c r="U78" s="164" t="s">
        <v>399</v>
      </c>
    </row>
    <row r="79" spans="1:22" x14ac:dyDescent="0.25">
      <c r="A79" s="454" t="s">
        <v>279</v>
      </c>
      <c r="B79" t="s">
        <v>1776</v>
      </c>
      <c r="C79" s="227">
        <f t="shared" ref="C79:C81" si="61">$B$179</f>
        <v>0.75</v>
      </c>
      <c r="D79" s="114">
        <v>0.95</v>
      </c>
      <c r="E79" s="115">
        <v>0.9</v>
      </c>
      <c r="F79" s="228">
        <f t="shared" ref="F79" si="62">C79*D79*E79</f>
        <v>0.64124999999999999</v>
      </c>
      <c r="G79" s="320">
        <f>$J$294</f>
        <v>1481.8726713105461</v>
      </c>
      <c r="H79" s="230" t="s">
        <v>614</v>
      </c>
      <c r="I79" s="5">
        <f t="shared" ref="I79" si="63">G79*F79</f>
        <v>950.25085047788764</v>
      </c>
      <c r="J79" t="s">
        <v>614</v>
      </c>
      <c r="K79" s="294">
        <f>H618</f>
        <v>92577.749549104905</v>
      </c>
      <c r="L79" t="s">
        <v>20</v>
      </c>
      <c r="M79" s="584">
        <f t="shared" ref="M79" si="64">K79/I79</f>
        <v>97.424537428771487</v>
      </c>
      <c r="N79" s="10" t="s">
        <v>446</v>
      </c>
      <c r="O79" s="163">
        <f>$J$296</f>
        <v>1474.5900000000001</v>
      </c>
      <c r="P79" s="35" t="s">
        <v>537</v>
      </c>
      <c r="Q79" s="163"/>
      <c r="S79" s="613">
        <f t="shared" ref="S79:S80" si="65">(O79+Q79)*M79</f>
        <v>143661.24864709217</v>
      </c>
      <c r="T79" s="758">
        <v>173778.14996046625</v>
      </c>
      <c r="U79" t="s">
        <v>628</v>
      </c>
    </row>
    <row r="80" spans="1:22" x14ac:dyDescent="0.25">
      <c r="A80" s="322" t="s">
        <v>629</v>
      </c>
      <c r="B80" t="s">
        <v>630</v>
      </c>
      <c r="C80" s="227">
        <f>$A$179</f>
        <v>0.83</v>
      </c>
      <c r="D80" s="114">
        <v>0.9</v>
      </c>
      <c r="E80" s="115">
        <v>0.75</v>
      </c>
      <c r="F80" s="228">
        <f>C80*D80*E80</f>
        <v>0.56025000000000003</v>
      </c>
      <c r="G80" s="320">
        <f>$B$245*2</f>
        <v>1200</v>
      </c>
      <c r="H80" s="230" t="s">
        <v>614</v>
      </c>
      <c r="I80" s="5">
        <f>G80*F80</f>
        <v>672.30000000000007</v>
      </c>
      <c r="J80" t="s">
        <v>614</v>
      </c>
      <c r="K80" s="294">
        <f>K79</f>
        <v>92577.749549104905</v>
      </c>
      <c r="L80" t="s">
        <v>20</v>
      </c>
      <c r="M80" s="584">
        <f>K80/I80</f>
        <v>137.70303368898541</v>
      </c>
      <c r="N80" s="10" t="s">
        <v>446</v>
      </c>
      <c r="O80" s="703">
        <f>'Equipment Rates 2025'!$E$10*2</f>
        <v>624.86</v>
      </c>
      <c r="P80" s="35" t="s">
        <v>537</v>
      </c>
      <c r="Q80" s="164">
        <f>'Labor Rates 2025'!$E$12*2</f>
        <v>96.06</v>
      </c>
      <c r="R80" s="35" t="s">
        <v>537</v>
      </c>
      <c r="S80" s="613">
        <f t="shared" si="65"/>
        <v>99272.871047063381</v>
      </c>
      <c r="T80" s="758">
        <v>186078.46726635454</v>
      </c>
    </row>
    <row r="81" spans="1:21" x14ac:dyDescent="0.25">
      <c r="A81" s="454" t="s">
        <v>2193</v>
      </c>
      <c r="B81" t="s">
        <v>1776</v>
      </c>
      <c r="C81" s="227">
        <f t="shared" si="61"/>
        <v>0.75</v>
      </c>
      <c r="D81" s="114">
        <v>0.95</v>
      </c>
      <c r="E81" s="115">
        <v>0.9</v>
      </c>
      <c r="F81" s="228">
        <f t="shared" ref="F81" si="66">C81*D81*E81</f>
        <v>0.64124999999999999</v>
      </c>
      <c r="G81" s="320">
        <f>$G$294</f>
        <v>1684.242089481575</v>
      </c>
      <c r="H81" s="230" t="s">
        <v>614</v>
      </c>
      <c r="I81" s="5">
        <f>G81*F81</f>
        <v>1080.02023988006</v>
      </c>
      <c r="J81" t="s">
        <v>614</v>
      </c>
      <c r="K81" s="294">
        <f>P618</f>
        <v>91307.76770595416</v>
      </c>
      <c r="L81" t="s">
        <v>20</v>
      </c>
      <c r="M81" s="584">
        <f t="shared" ref="M81" si="67">K81/I81</f>
        <v>84.542644974962883</v>
      </c>
      <c r="N81" s="10" t="s">
        <v>446</v>
      </c>
      <c r="O81" s="163">
        <f>$J$296</f>
        <v>1474.5900000000001</v>
      </c>
      <c r="P81" s="35" t="s">
        <v>537</v>
      </c>
      <c r="Q81" s="163"/>
      <c r="S81" s="613">
        <f t="shared" ref="S81:S82" si="68">(O81+Q81)*M81</f>
        <v>124665.73885363054</v>
      </c>
      <c r="T81" s="758">
        <v>52830.661136704148</v>
      </c>
      <c r="U81" t="s">
        <v>628</v>
      </c>
    </row>
    <row r="82" spans="1:21" x14ac:dyDescent="0.25">
      <c r="A82" s="322" t="s">
        <v>629</v>
      </c>
      <c r="B82" t="s">
        <v>630</v>
      </c>
      <c r="C82" s="227">
        <f>$A$179</f>
        <v>0.83</v>
      </c>
      <c r="D82" s="114">
        <v>0.9</v>
      </c>
      <c r="E82" s="115">
        <v>0.75</v>
      </c>
      <c r="F82" s="228">
        <f>C82*D82*E82</f>
        <v>0.56025000000000003</v>
      </c>
      <c r="G82" s="320">
        <f>$B$245*2</f>
        <v>1200</v>
      </c>
      <c r="H82" s="230" t="s">
        <v>614</v>
      </c>
      <c r="I82" s="5">
        <f>G82*F82</f>
        <v>672.30000000000007</v>
      </c>
      <c r="J82" t="s">
        <v>614</v>
      </c>
      <c r="K82" s="294">
        <f>K81</f>
        <v>91307.76770595416</v>
      </c>
      <c r="L82" t="s">
        <v>20</v>
      </c>
      <c r="M82" s="584">
        <f>K82/I82</f>
        <v>135.8140230640401</v>
      </c>
      <c r="N82" s="10" t="s">
        <v>446</v>
      </c>
      <c r="O82" s="703">
        <f>'Equipment Rates 2025'!$E$10*2</f>
        <v>624.86</v>
      </c>
      <c r="P82" s="35" t="s">
        <v>537</v>
      </c>
      <c r="Q82" s="164">
        <f>'Labor Rates 2025'!$E$12*2</f>
        <v>96.06</v>
      </c>
      <c r="R82" s="35" t="s">
        <v>537</v>
      </c>
      <c r="S82" s="613">
        <f t="shared" si="68"/>
        <v>97911.045507327799</v>
      </c>
      <c r="T82" s="758">
        <v>64295.506761385062</v>
      </c>
      <c r="U82" t="s">
        <v>2021</v>
      </c>
    </row>
    <row r="83" spans="1:21" x14ac:dyDescent="0.25">
      <c r="A83" s="460" t="s">
        <v>318</v>
      </c>
      <c r="B83" s="73" t="s">
        <v>637</v>
      </c>
      <c r="C83" s="214"/>
      <c r="D83" s="114"/>
      <c r="E83" s="114"/>
      <c r="F83" s="89"/>
      <c r="G83" s="230"/>
      <c r="H83" s="230"/>
      <c r="I83" s="11"/>
      <c r="J83" s="21"/>
      <c r="K83" s="73"/>
      <c r="L83" s="871"/>
      <c r="M83" s="5"/>
      <c r="O83" s="164"/>
      <c r="P83" s="35"/>
      <c r="Q83" s="163"/>
      <c r="S83" s="305">
        <v>0</v>
      </c>
      <c r="T83" s="758">
        <v>0</v>
      </c>
    </row>
    <row r="84" spans="1:21" x14ac:dyDescent="0.25">
      <c r="A84" s="454" t="s">
        <v>319</v>
      </c>
      <c r="B84" s="73" t="s">
        <v>2156</v>
      </c>
      <c r="C84" s="227"/>
      <c r="D84" s="114"/>
      <c r="E84" s="115"/>
      <c r="F84" s="228"/>
      <c r="G84" s="320"/>
      <c r="H84" s="230"/>
      <c r="I84" s="5"/>
      <c r="K84" s="294"/>
      <c r="M84" s="584"/>
      <c r="N84" s="10"/>
      <c r="O84" s="164"/>
      <c r="P84" s="35"/>
      <c r="Q84" s="163"/>
      <c r="S84" s="613">
        <f t="shared" ref="S84" si="69">(O84+Q84)*M84</f>
        <v>0</v>
      </c>
      <c r="T84" s="758">
        <v>14871.370134526986</v>
      </c>
      <c r="U84" s="38"/>
    </row>
    <row r="85" spans="1:21" x14ac:dyDescent="0.25">
      <c r="A85" s="454" t="s">
        <v>320</v>
      </c>
      <c r="B85" s="73" t="s">
        <v>2156</v>
      </c>
      <c r="C85" s="227"/>
      <c r="D85" s="114"/>
      <c r="E85" s="115"/>
      <c r="F85" s="228"/>
      <c r="G85" s="320"/>
      <c r="H85" s="230"/>
      <c r="I85" s="5"/>
      <c r="K85" s="294"/>
      <c r="M85" s="584"/>
      <c r="N85" s="10"/>
      <c r="O85" s="164"/>
      <c r="P85" s="35"/>
      <c r="Q85" s="163"/>
      <c r="S85" s="613">
        <f>(O85+Q85)*M85</f>
        <v>0</v>
      </c>
      <c r="T85" s="758">
        <v>18799.311492590496</v>
      </c>
      <c r="U85" t="s">
        <v>628</v>
      </c>
    </row>
    <row r="86" spans="1:21" x14ac:dyDescent="0.25">
      <c r="A86" s="454" t="s">
        <v>1879</v>
      </c>
      <c r="B86" t="s">
        <v>1776</v>
      </c>
      <c r="C86" s="227">
        <f>$B$179</f>
        <v>0.75</v>
      </c>
      <c r="D86" s="114">
        <v>0.95</v>
      </c>
      <c r="E86" s="115">
        <v>0.9</v>
      </c>
      <c r="F86" s="228">
        <f t="shared" ref="F86" si="70">C86*D86*E86</f>
        <v>0.64124999999999999</v>
      </c>
      <c r="G86" s="320">
        <f>$L$294</f>
        <v>1305.0288893644342</v>
      </c>
      <c r="H86" s="230" t="s">
        <v>614</v>
      </c>
      <c r="I86" s="5">
        <f t="shared" ref="I86" si="71">G86*F86</f>
        <v>836.84977530494348</v>
      </c>
      <c r="J86" t="s">
        <v>614</v>
      </c>
      <c r="K86" s="294">
        <f>L618</f>
        <v>271504.80146392173</v>
      </c>
      <c r="L86" t="s">
        <v>20</v>
      </c>
      <c r="M86" s="584">
        <f t="shared" ref="M86" si="72">K86/I86</f>
        <v>324.4367262511206</v>
      </c>
      <c r="N86" s="10" t="s">
        <v>446</v>
      </c>
      <c r="O86" s="163">
        <f>$L$296</f>
        <v>1224.3400000000001</v>
      </c>
      <c r="P86" s="35" t="s">
        <v>537</v>
      </c>
      <c r="Q86" s="163"/>
      <c r="S86" s="613">
        <f t="shared" ref="S86:S87" si="73">(O86+Q86)*M86</f>
        <v>397220.86141829705</v>
      </c>
      <c r="T86" s="758">
        <v>558100.86971874896</v>
      </c>
      <c r="U86" t="s">
        <v>628</v>
      </c>
    </row>
    <row r="87" spans="1:21" x14ac:dyDescent="0.25">
      <c r="A87" s="322" t="s">
        <v>629</v>
      </c>
      <c r="B87" t="s">
        <v>630</v>
      </c>
      <c r="C87" s="227">
        <f>$A$179</f>
        <v>0.83</v>
      </c>
      <c r="D87" s="114">
        <v>0.9</v>
      </c>
      <c r="E87" s="115">
        <v>0.75</v>
      </c>
      <c r="F87" s="228">
        <f>C87*D87*E87</f>
        <v>0.56025000000000003</v>
      </c>
      <c r="G87" s="320">
        <f>$B$245*2</f>
        <v>1200</v>
      </c>
      <c r="H87" s="230" t="s">
        <v>614</v>
      </c>
      <c r="I87" s="5">
        <f>G87*F87</f>
        <v>672.30000000000007</v>
      </c>
      <c r="J87" t="s">
        <v>614</v>
      </c>
      <c r="K87" s="294">
        <f>K86</f>
        <v>271504.80146392173</v>
      </c>
      <c r="L87" t="s">
        <v>20</v>
      </c>
      <c r="M87" s="584">
        <f>K87/I87</f>
        <v>403.84471435954441</v>
      </c>
      <c r="N87" s="10" t="s">
        <v>446</v>
      </c>
      <c r="O87" s="703">
        <f>'Equipment Rates 2025'!$E$10*2</f>
        <v>624.86</v>
      </c>
      <c r="P87" s="35" t="s">
        <v>537</v>
      </c>
      <c r="Q87" s="164">
        <f>'Labor Rates 2025'!$E$12*2</f>
        <v>96.06</v>
      </c>
      <c r="R87" s="35" t="s">
        <v>537</v>
      </c>
      <c r="S87" s="613">
        <f t="shared" si="73"/>
        <v>291139.73147608282</v>
      </c>
      <c r="T87" s="758">
        <v>605963.63576692331</v>
      </c>
    </row>
    <row r="88" spans="1:21" x14ac:dyDescent="0.25">
      <c r="A88" s="454" t="s">
        <v>1880</v>
      </c>
      <c r="B88" t="s">
        <v>1776</v>
      </c>
      <c r="C88" s="227">
        <f>$B$179</f>
        <v>0.75</v>
      </c>
      <c r="D88" s="114">
        <v>0.95</v>
      </c>
      <c r="E88" s="115">
        <v>0.9</v>
      </c>
      <c r="F88" s="228">
        <f t="shared" ref="F88" si="74">C88*D88*E88</f>
        <v>0.64124999999999999</v>
      </c>
      <c r="G88" s="320">
        <f>$K$294</f>
        <v>1481.8726713105461</v>
      </c>
      <c r="H88" s="230" t="s">
        <v>614</v>
      </c>
      <c r="I88" s="5">
        <f t="shared" ref="I88" si="75">G88*F88</f>
        <v>950.25085047788764</v>
      </c>
      <c r="J88" t="s">
        <v>614</v>
      </c>
      <c r="K88" s="294">
        <f>J618</f>
        <v>184655.50736122206</v>
      </c>
      <c r="L88" t="s">
        <v>20</v>
      </c>
      <c r="M88" s="584">
        <f t="shared" ref="M88" si="76">K88/I88</f>
        <v>194.32290670232766</v>
      </c>
      <c r="N88" s="10" t="s">
        <v>446</v>
      </c>
      <c r="O88" s="163">
        <f>$K$296</f>
        <v>1474.5900000000001</v>
      </c>
      <c r="P88" s="35" t="s">
        <v>537</v>
      </c>
      <c r="Q88" s="163"/>
      <c r="S88" s="613">
        <f t="shared" ref="S88:S89" si="77">(O88+Q88)*M88</f>
        <v>286546.61499418539</v>
      </c>
      <c r="T88" s="758">
        <v>178953.7243416617</v>
      </c>
      <c r="U88" t="s">
        <v>628</v>
      </c>
    </row>
    <row r="89" spans="1:21" x14ac:dyDescent="0.25">
      <c r="A89" s="322" t="s">
        <v>629</v>
      </c>
      <c r="B89" t="s">
        <v>630</v>
      </c>
      <c r="C89" s="227">
        <f>$A$179</f>
        <v>0.83</v>
      </c>
      <c r="D89" s="114">
        <v>0.9</v>
      </c>
      <c r="E89" s="115">
        <v>0.75</v>
      </c>
      <c r="F89" s="228">
        <f>C89*D89*E89</f>
        <v>0.56025000000000003</v>
      </c>
      <c r="G89" s="320">
        <f>$B$245*2</f>
        <v>1200</v>
      </c>
      <c r="H89" s="230" t="s">
        <v>614</v>
      </c>
      <c r="I89" s="5">
        <f>G89*F89</f>
        <v>672.30000000000007</v>
      </c>
      <c r="J89" t="s">
        <v>614</v>
      </c>
      <c r="K89" s="294">
        <f>K88</f>
        <v>184655.50736122206</v>
      </c>
      <c r="L89" t="s">
        <v>20</v>
      </c>
      <c r="M89" s="584">
        <f>K89/I89</f>
        <v>274.66236406547978</v>
      </c>
      <c r="N89" s="10" t="s">
        <v>446</v>
      </c>
      <c r="O89" s="703">
        <f>'Equipment Rates 2025'!$E$10*2</f>
        <v>624.86</v>
      </c>
      <c r="P89" s="35" t="s">
        <v>537</v>
      </c>
      <c r="Q89" s="164">
        <f>'Labor Rates 2025'!$E$12*2</f>
        <v>96.06</v>
      </c>
      <c r="R89" s="35" t="s">
        <v>537</v>
      </c>
      <c r="S89" s="613">
        <f t="shared" si="77"/>
        <v>198009.59150208571</v>
      </c>
      <c r="T89" s="758">
        <v>191620.37773262977</v>
      </c>
    </row>
    <row r="90" spans="1:21" x14ac:dyDescent="0.25">
      <c r="A90" s="454" t="s">
        <v>323</v>
      </c>
      <c r="B90" t="s">
        <v>637</v>
      </c>
      <c r="C90" s="214"/>
      <c r="D90" s="114"/>
      <c r="E90" s="114"/>
      <c r="F90" s="89"/>
      <c r="G90" s="230"/>
      <c r="H90" s="230"/>
      <c r="I90" s="11"/>
      <c r="J90" s="21"/>
      <c r="K90" s="73"/>
      <c r="L90" s="871"/>
      <c r="M90" s="5"/>
      <c r="O90" s="164"/>
      <c r="P90" s="35"/>
      <c r="Q90" s="163"/>
      <c r="S90" s="305">
        <v>0</v>
      </c>
      <c r="T90" s="758">
        <v>0</v>
      </c>
    </row>
    <row r="91" spans="1:21" x14ac:dyDescent="0.25">
      <c r="A91" s="454" t="s">
        <v>638</v>
      </c>
      <c r="B91" t="s">
        <v>1776</v>
      </c>
      <c r="C91" s="227">
        <f>$B$179</f>
        <v>0.75</v>
      </c>
      <c r="D91" s="114">
        <v>0.95</v>
      </c>
      <c r="E91" s="115">
        <v>0.9</v>
      </c>
      <c r="F91" s="228">
        <f t="shared" ref="F91" si="78">C91*D91*E91</f>
        <v>0.64124999999999999</v>
      </c>
      <c r="G91" s="320">
        <f>$M$294</f>
        <v>1252.4439332949969</v>
      </c>
      <c r="H91" s="230" t="s">
        <v>614</v>
      </c>
      <c r="I91" s="5">
        <f t="shared" ref="I91" si="79">G91*F91</f>
        <v>803.1296722254167</v>
      </c>
      <c r="J91" t="s">
        <v>614</v>
      </c>
      <c r="K91" s="294">
        <f>C618</f>
        <v>28285.6999413802</v>
      </c>
      <c r="L91" t="s">
        <v>20</v>
      </c>
      <c r="M91" s="584">
        <f t="shared" ref="M91" si="80">K91/I91</f>
        <v>35.219343674605476</v>
      </c>
      <c r="N91" s="10" t="s">
        <v>446</v>
      </c>
      <c r="O91" s="163">
        <f>$M$296</f>
        <v>1975.0900000000001</v>
      </c>
      <c r="P91" s="35" t="s">
        <v>537</v>
      </c>
      <c r="Q91" s="163"/>
      <c r="S91" s="613">
        <f t="shared" ref="S91:S92" si="81">(O91+Q91)*M91</f>
        <v>69561.373498276531</v>
      </c>
      <c r="T91" s="758">
        <v>84657.804406409734</v>
      </c>
      <c r="U91" t="s">
        <v>628</v>
      </c>
    </row>
    <row r="92" spans="1:21" x14ac:dyDescent="0.25">
      <c r="A92" s="322" t="s">
        <v>629</v>
      </c>
      <c r="B92" t="s">
        <v>630</v>
      </c>
      <c r="C92" s="227">
        <f>$A$179</f>
        <v>0.83</v>
      </c>
      <c r="D92" s="114">
        <v>0.9</v>
      </c>
      <c r="E92" s="115">
        <v>0.75</v>
      </c>
      <c r="F92" s="228">
        <f>C92*D92*E92</f>
        <v>0.56025000000000003</v>
      </c>
      <c r="G92" s="320">
        <f>$B$245*2</f>
        <v>1200</v>
      </c>
      <c r="H92" s="230" t="s">
        <v>614</v>
      </c>
      <c r="I92" s="5">
        <f>G92*F92</f>
        <v>672.30000000000007</v>
      </c>
      <c r="J92" t="s">
        <v>614</v>
      </c>
      <c r="K92" s="294">
        <f>K91</f>
        <v>28285.6999413802</v>
      </c>
      <c r="L92" t="s">
        <v>20</v>
      </c>
      <c r="M92" s="584">
        <f>K92/I92</f>
        <v>42.073032785036737</v>
      </c>
      <c r="N92" s="10" t="s">
        <v>446</v>
      </c>
      <c r="O92" s="703">
        <f>'Equipment Rates 2025'!$E$10*2</f>
        <v>624.86</v>
      </c>
      <c r="P92" s="35" t="s">
        <v>537</v>
      </c>
      <c r="Q92" s="164">
        <f>'Labor Rates 2025'!$E$12*2</f>
        <v>96.06</v>
      </c>
      <c r="R92" s="35" t="s">
        <v>537</v>
      </c>
      <c r="S92" s="613">
        <f t="shared" si="81"/>
        <v>30331.290795388686</v>
      </c>
      <c r="T92" s="758">
        <v>60662.589784989774</v>
      </c>
    </row>
    <row r="93" spans="1:21" x14ac:dyDescent="0.25">
      <c r="A93" s="454" t="s">
        <v>621</v>
      </c>
      <c r="B93" t="s">
        <v>1776</v>
      </c>
      <c r="C93" s="227">
        <f>$B$179</f>
        <v>0.75</v>
      </c>
      <c r="D93" s="114">
        <v>0.95</v>
      </c>
      <c r="E93" s="115">
        <v>0.9</v>
      </c>
      <c r="F93" s="228">
        <f t="shared" ref="F93" si="82">C93*D93*E93</f>
        <v>0.64124999999999999</v>
      </c>
      <c r="G93" s="320">
        <f>$N$294</f>
        <v>1428.4643492926075</v>
      </c>
      <c r="H93" s="230" t="s">
        <v>614</v>
      </c>
      <c r="I93" s="5">
        <f t="shared" ref="I93" si="83">G93*F93</f>
        <v>916.00276398388451</v>
      </c>
      <c r="J93" t="s">
        <v>614</v>
      </c>
      <c r="K93" s="294">
        <f>D604</f>
        <v>792359.0439591707</v>
      </c>
      <c r="L93" t="s">
        <v>20</v>
      </c>
      <c r="M93" s="584">
        <f t="shared" ref="M93" si="84">K93/I93</f>
        <v>865.01818019962968</v>
      </c>
      <c r="N93" s="10" t="s">
        <v>446</v>
      </c>
      <c r="O93" s="163">
        <f>$N$296</f>
        <v>1975.0900000000001</v>
      </c>
      <c r="P93" s="35" t="s">
        <v>537</v>
      </c>
      <c r="Q93" s="163"/>
      <c r="S93" s="613">
        <f t="shared" ref="S93:S94" si="85">(O93+Q93)*M93</f>
        <v>1708488.7575304867</v>
      </c>
      <c r="T93" s="758">
        <v>1795346.0148744772</v>
      </c>
      <c r="U93" t="s">
        <v>628</v>
      </c>
    </row>
    <row r="94" spans="1:21" x14ac:dyDescent="0.25">
      <c r="A94" s="322" t="s">
        <v>629</v>
      </c>
      <c r="B94" t="s">
        <v>630</v>
      </c>
      <c r="C94" s="227">
        <f>$A$179</f>
        <v>0.83</v>
      </c>
      <c r="D94" s="114">
        <v>0.9</v>
      </c>
      <c r="E94" s="115">
        <v>0.75</v>
      </c>
      <c r="F94" s="228">
        <f>C94*D94*E94</f>
        <v>0.56025000000000003</v>
      </c>
      <c r="G94" s="320">
        <f>$B$245*2</f>
        <v>1200</v>
      </c>
      <c r="H94" s="230" t="s">
        <v>614</v>
      </c>
      <c r="I94" s="5">
        <f>G94*F94</f>
        <v>672.30000000000007</v>
      </c>
      <c r="J94" t="s">
        <v>614</v>
      </c>
      <c r="K94" s="294">
        <f>K93</f>
        <v>792359.0439591707</v>
      </c>
      <c r="L94" t="s">
        <v>20</v>
      </c>
      <c r="M94" s="584">
        <f>K94/I94</f>
        <v>1178.5795685842193</v>
      </c>
      <c r="N94" s="10" t="s">
        <v>446</v>
      </c>
      <c r="O94" s="703">
        <f>'Equipment Rates 2025'!$E$10*2</f>
        <v>624.86</v>
      </c>
      <c r="P94" s="35" t="s">
        <v>537</v>
      </c>
      <c r="Q94" s="164">
        <f>'Labor Rates 2025'!$E$12*2</f>
        <v>96.06</v>
      </c>
      <c r="R94" s="35" t="s">
        <v>537</v>
      </c>
      <c r="S94" s="613">
        <f t="shared" si="85"/>
        <v>849661.58258373546</v>
      </c>
      <c r="T94" s="758">
        <v>1467280.7533643225</v>
      </c>
    </row>
    <row r="95" spans="1:21" x14ac:dyDescent="0.25">
      <c r="A95" s="454" t="s">
        <v>287</v>
      </c>
      <c r="B95" t="s">
        <v>1776</v>
      </c>
      <c r="C95" s="227">
        <f>$B$179</f>
        <v>0.75</v>
      </c>
      <c r="D95" s="114">
        <v>0.95</v>
      </c>
      <c r="E95" s="115">
        <v>0.9</v>
      </c>
      <c r="F95" s="228">
        <f t="shared" ref="F95" si="86">C95*D95*E95</f>
        <v>0.64124999999999999</v>
      </c>
      <c r="G95" s="320">
        <f>$O$294</f>
        <v>1192.1803727355664</v>
      </c>
      <c r="H95" s="230" t="s">
        <v>614</v>
      </c>
      <c r="I95" s="5">
        <f t="shared" ref="I95" si="87">G95*F95</f>
        <v>764.48566401668188</v>
      </c>
      <c r="J95" t="s">
        <v>614</v>
      </c>
      <c r="K95" s="294">
        <f>B604</f>
        <v>118543.56130829391</v>
      </c>
      <c r="L95" t="s">
        <v>20</v>
      </c>
      <c r="M95" s="584">
        <f t="shared" ref="M95" si="88">K95/I95</f>
        <v>155.06315800018345</v>
      </c>
      <c r="N95" s="10" t="s">
        <v>446</v>
      </c>
      <c r="O95" s="163">
        <f>$O$296</f>
        <v>1474.5900000000001</v>
      </c>
      <c r="P95" s="35" t="s">
        <v>537</v>
      </c>
      <c r="Q95" s="163"/>
      <c r="S95" s="613">
        <f t="shared" ref="S95:S96" si="89">(O95+Q95)*M95</f>
        <v>228654.58215549053</v>
      </c>
      <c r="T95" s="758">
        <v>340783.00693540939</v>
      </c>
      <c r="U95" t="s">
        <v>628</v>
      </c>
    </row>
    <row r="96" spans="1:21" x14ac:dyDescent="0.25">
      <c r="A96" s="322" t="s">
        <v>629</v>
      </c>
      <c r="B96" t="s">
        <v>630</v>
      </c>
      <c r="C96" s="227">
        <f>$A$179</f>
        <v>0.83</v>
      </c>
      <c r="D96" s="114">
        <v>0.9</v>
      </c>
      <c r="E96" s="115">
        <v>0.75</v>
      </c>
      <c r="F96" s="228">
        <f>C96*D96*E96</f>
        <v>0.56025000000000003</v>
      </c>
      <c r="G96" s="320">
        <f>$B$245*2</f>
        <v>1200</v>
      </c>
      <c r="H96" s="230" t="s">
        <v>614</v>
      </c>
      <c r="I96" s="5">
        <f>G96*F96</f>
        <v>672.30000000000007</v>
      </c>
      <c r="J96" t="s">
        <v>614</v>
      </c>
      <c r="K96" s="294">
        <f>K95</f>
        <v>118543.56130829391</v>
      </c>
      <c r="L96" t="s">
        <v>20</v>
      </c>
      <c r="M96" s="584">
        <f>K96/I96</f>
        <v>176.32539239668881</v>
      </c>
      <c r="N96" s="10" t="s">
        <v>446</v>
      </c>
      <c r="O96" s="703">
        <f>'Equipment Rates 2025'!$E$10*2</f>
        <v>624.86</v>
      </c>
      <c r="P96" s="35" t="s">
        <v>537</v>
      </c>
      <c r="Q96" s="164">
        <f>'Labor Rates 2025'!$E$12*2</f>
        <v>96.06</v>
      </c>
      <c r="R96" s="35" t="s">
        <v>537</v>
      </c>
      <c r="S96" s="613">
        <f t="shared" si="89"/>
        <v>127116.50188662091</v>
      </c>
      <c r="T96" s="758">
        <v>293568.84223827347</v>
      </c>
    </row>
    <row r="97" spans="1:21" x14ac:dyDescent="0.25">
      <c r="A97" s="454" t="s">
        <v>327</v>
      </c>
      <c r="B97" t="s">
        <v>1776</v>
      </c>
      <c r="C97" s="227">
        <f>$B$179</f>
        <v>0.75</v>
      </c>
      <c r="D97" s="114">
        <v>0.95</v>
      </c>
      <c r="E97" s="115">
        <v>0.9</v>
      </c>
      <c r="F97" s="228">
        <f t="shared" ref="F97" si="90">C97*D97*E97</f>
        <v>0.64124999999999999</v>
      </c>
      <c r="G97" s="320">
        <f>$P$294</f>
        <v>1192.1803727355664</v>
      </c>
      <c r="H97" s="230" t="s">
        <v>614</v>
      </c>
      <c r="I97" s="5">
        <f t="shared" ref="I97" si="91">G97*F97</f>
        <v>764.48566401668188</v>
      </c>
      <c r="J97" t="s">
        <v>614</v>
      </c>
      <c r="K97" s="294">
        <f>C604</f>
        <v>658840.00165323901</v>
      </c>
      <c r="L97" t="s">
        <v>20</v>
      </c>
      <c r="M97" s="584">
        <f t="shared" ref="M97" si="92">K97/I97</f>
        <v>861.80818380769847</v>
      </c>
      <c r="N97" s="10" t="s">
        <v>446</v>
      </c>
      <c r="O97" s="163">
        <f>$P$296</f>
        <v>1474.5900000000001</v>
      </c>
      <c r="P97" s="35" t="s">
        <v>537</v>
      </c>
      <c r="Q97" s="163"/>
      <c r="S97" s="613">
        <f t="shared" ref="S97:S100" si="93">(O97+Q97)*M97</f>
        <v>1270813.7297609942</v>
      </c>
      <c r="T97" s="758">
        <v>2261939.1670164047</v>
      </c>
      <c r="U97" t="s">
        <v>628</v>
      </c>
    </row>
    <row r="98" spans="1:21" x14ac:dyDescent="0.25">
      <c r="A98" s="322" t="s">
        <v>629</v>
      </c>
      <c r="B98" t="s">
        <v>630</v>
      </c>
      <c r="C98" s="227">
        <f>$A$179</f>
        <v>0.83</v>
      </c>
      <c r="D98" s="114">
        <v>0.9</v>
      </c>
      <c r="E98" s="115">
        <v>0.75</v>
      </c>
      <c r="F98" s="228">
        <f>C98*D98*E98</f>
        <v>0.56025000000000003</v>
      </c>
      <c r="G98" s="320">
        <f>$B$245*2</f>
        <v>1200</v>
      </c>
      <c r="H98" s="230" t="s">
        <v>614</v>
      </c>
      <c r="I98" s="5">
        <f>G98*F98</f>
        <v>672.30000000000007</v>
      </c>
      <c r="J98" t="s">
        <v>614</v>
      </c>
      <c r="K98" s="294">
        <f>K97</f>
        <v>658840.00165323901</v>
      </c>
      <c r="L98" t="s">
        <v>20</v>
      </c>
      <c r="M98" s="584">
        <f>K98/I98</f>
        <v>979.9791784221909</v>
      </c>
      <c r="N98" s="10" t="s">
        <v>446</v>
      </c>
      <c r="O98" s="703">
        <f>'Equipment Rates 2025'!$E$10*2</f>
        <v>624.86</v>
      </c>
      <c r="P98" s="35" t="s">
        <v>537</v>
      </c>
      <c r="Q98" s="164">
        <f>'Labor Rates 2025'!$E$12*2</f>
        <v>96.06</v>
      </c>
      <c r="R98" s="35" t="s">
        <v>537</v>
      </c>
      <c r="S98" s="613">
        <f t="shared" si="93"/>
        <v>706486.5893081259</v>
      </c>
      <c r="T98" s="758">
        <v>1948556.2629602274</v>
      </c>
    </row>
    <row r="99" spans="1:21" x14ac:dyDescent="0.25">
      <c r="A99" s="460" t="s">
        <v>2008</v>
      </c>
      <c r="B99" t="s">
        <v>1776</v>
      </c>
      <c r="C99" s="227">
        <f>$B$179</f>
        <v>0.75</v>
      </c>
      <c r="D99" s="114">
        <v>0.95</v>
      </c>
      <c r="E99" s="115">
        <v>0.9</v>
      </c>
      <c r="F99" s="228">
        <f t="shared" ref="F99" si="94">C99*D99*E99</f>
        <v>0.64124999999999999</v>
      </c>
      <c r="G99" s="320">
        <f>$P$294</f>
        <v>1192.1803727355664</v>
      </c>
      <c r="H99" s="230" t="s">
        <v>614</v>
      </c>
      <c r="I99" s="5">
        <f t="shared" ref="I99" si="95">G99*F99</f>
        <v>764.48566401668188</v>
      </c>
      <c r="J99" t="s">
        <v>614</v>
      </c>
      <c r="K99" s="294">
        <f>E604</f>
        <v>2952.6744520126563</v>
      </c>
      <c r="L99" t="s">
        <v>20</v>
      </c>
      <c r="M99" s="584">
        <f t="shared" ref="M99" si="96">K99/I99</f>
        <v>3.8623019253219453</v>
      </c>
      <c r="N99" s="10" t="s">
        <v>446</v>
      </c>
      <c r="O99" s="163">
        <f>$O$296</f>
        <v>1474.5900000000001</v>
      </c>
      <c r="P99" s="35" t="s">
        <v>537</v>
      </c>
      <c r="Q99" s="163"/>
      <c r="S99" s="613">
        <f t="shared" si="93"/>
        <v>5695.3117960604877</v>
      </c>
      <c r="T99" s="758">
        <v>7350.8482429878686</v>
      </c>
    </row>
    <row r="100" spans="1:21" x14ac:dyDescent="0.25">
      <c r="A100" s="322" t="s">
        <v>629</v>
      </c>
      <c r="B100" t="s">
        <v>630</v>
      </c>
      <c r="C100" s="227">
        <f>$A$179</f>
        <v>0.83</v>
      </c>
      <c r="D100" s="114">
        <v>0.9</v>
      </c>
      <c r="E100" s="115">
        <v>0.75</v>
      </c>
      <c r="F100" s="228">
        <f>C100*D100*E100</f>
        <v>0.56025000000000003</v>
      </c>
      <c r="G100" s="320">
        <f>$B$245*2</f>
        <v>1200</v>
      </c>
      <c r="H100" s="230" t="s">
        <v>614</v>
      </c>
      <c r="I100" s="5">
        <f>G100*F100</f>
        <v>672.30000000000007</v>
      </c>
      <c r="J100" t="s">
        <v>614</v>
      </c>
      <c r="K100" s="294">
        <f>K99</f>
        <v>2952.6744520126563</v>
      </c>
      <c r="L100" t="s">
        <v>20</v>
      </c>
      <c r="M100" s="584">
        <f>K100/I100</f>
        <v>4.3919001219881837</v>
      </c>
      <c r="N100" s="10" t="s">
        <v>446</v>
      </c>
      <c r="O100" s="703">
        <f>'Equipment Rates 2025'!$E$10*2</f>
        <v>624.86</v>
      </c>
      <c r="P100" s="35" t="s">
        <v>537</v>
      </c>
      <c r="Q100" s="164">
        <f>'Labor Rates 2025'!$E$12*2</f>
        <v>96.06</v>
      </c>
      <c r="R100" s="35" t="s">
        <v>537</v>
      </c>
      <c r="S100" s="613">
        <f t="shared" si="93"/>
        <v>3166.2086359437217</v>
      </c>
      <c r="T100" s="758">
        <v>6332.4167116472745</v>
      </c>
    </row>
    <row r="101" spans="1:21" x14ac:dyDescent="0.25">
      <c r="A101" s="692" t="s">
        <v>1999</v>
      </c>
      <c r="B101" t="s">
        <v>1776</v>
      </c>
      <c r="C101" s="227">
        <f>$B$179</f>
        <v>0.75</v>
      </c>
      <c r="D101" s="114">
        <v>0.95</v>
      </c>
      <c r="E101" s="115">
        <v>0.9</v>
      </c>
      <c r="F101" s="228">
        <f t="shared" ref="F101" si="97">C101*D101*E101</f>
        <v>0.64124999999999999</v>
      </c>
      <c r="G101" s="320">
        <f>$P$294</f>
        <v>1192.1803727355664</v>
      </c>
      <c r="H101" s="230" t="s">
        <v>614</v>
      </c>
      <c r="I101" s="5">
        <f t="shared" ref="I101" si="98">G101*F101</f>
        <v>764.48566401668188</v>
      </c>
      <c r="J101" t="s">
        <v>614</v>
      </c>
      <c r="K101" s="294">
        <f>F604</f>
        <v>1250.5144164944766</v>
      </c>
      <c r="L101" t="s">
        <v>20</v>
      </c>
      <c r="M101" s="584">
        <f t="shared" ref="M101" si="99">K101/I101</f>
        <v>1.6357591454680163</v>
      </c>
      <c r="N101" s="10" t="s">
        <v>446</v>
      </c>
      <c r="O101" s="163">
        <f>$P$296</f>
        <v>1474.5900000000001</v>
      </c>
      <c r="P101" s="35" t="s">
        <v>537</v>
      </c>
      <c r="Q101" s="163"/>
      <c r="S101" s="613">
        <f t="shared" ref="S101:S102" si="100">(O101+Q101)*M101</f>
        <v>2412.0740783156825</v>
      </c>
      <c r="T101" s="758">
        <v>3113.2328557622109</v>
      </c>
    </row>
    <row r="102" spans="1:21" x14ac:dyDescent="0.25">
      <c r="A102" s="322" t="s">
        <v>629</v>
      </c>
      <c r="B102" t="s">
        <v>630</v>
      </c>
      <c r="C102" s="227">
        <f>$A$179</f>
        <v>0.83</v>
      </c>
      <c r="D102" s="114">
        <v>0.9</v>
      </c>
      <c r="E102" s="115">
        <v>0.75</v>
      </c>
      <c r="F102" s="228">
        <f>C102*D102*E102</f>
        <v>0.56025000000000003</v>
      </c>
      <c r="G102" s="320">
        <f>$B$245*2</f>
        <v>1200</v>
      </c>
      <c r="H102" s="230" t="s">
        <v>614</v>
      </c>
      <c r="I102" s="5">
        <f>G102*F102</f>
        <v>672.30000000000007</v>
      </c>
      <c r="J102" t="s">
        <v>614</v>
      </c>
      <c r="K102" s="294">
        <f>K101</f>
        <v>1250.5144164944766</v>
      </c>
      <c r="L102" t="s">
        <v>20</v>
      </c>
      <c r="M102" s="584">
        <f>K102/I102</f>
        <v>1.8600541670303086</v>
      </c>
      <c r="N102" s="10" t="s">
        <v>446</v>
      </c>
      <c r="O102" s="703">
        <f>'Equipment Rates 2025'!$E$10*2</f>
        <v>624.86</v>
      </c>
      <c r="P102" s="35" t="s">
        <v>537</v>
      </c>
      <c r="Q102" s="164">
        <f>'Labor Rates 2025'!$E$12*2</f>
        <v>96.06</v>
      </c>
      <c r="R102" s="35" t="s">
        <v>537</v>
      </c>
      <c r="S102" s="613">
        <f t="shared" si="100"/>
        <v>1340.9502500954902</v>
      </c>
      <c r="T102" s="758">
        <v>2681.9065108416398</v>
      </c>
    </row>
    <row r="103" spans="1:21" x14ac:dyDescent="0.25">
      <c r="A103" s="654"/>
      <c r="B103" s="73"/>
      <c r="C103" s="227"/>
      <c r="D103" s="114"/>
      <c r="E103" s="115"/>
      <c r="F103" s="228"/>
      <c r="G103" s="230"/>
      <c r="H103" s="230"/>
      <c r="K103" s="73"/>
      <c r="M103" s="234"/>
      <c r="N103" s="235"/>
      <c r="O103" s="236"/>
      <c r="P103" s="237"/>
      <c r="Q103" s="238"/>
      <c r="R103" s="237"/>
      <c r="S103" s="613"/>
      <c r="T103" s="868"/>
      <c r="U103" s="38"/>
    </row>
    <row r="104" spans="1:21" x14ac:dyDescent="0.25">
      <c r="A104" s="375" t="s">
        <v>1904</v>
      </c>
      <c r="B104" s="30"/>
      <c r="C104" s="27"/>
      <c r="D104" s="28"/>
      <c r="E104" s="29"/>
      <c r="F104" s="26"/>
      <c r="G104" s="607"/>
      <c r="H104" s="607"/>
      <c r="I104" s="30"/>
      <c r="J104" s="30"/>
      <c r="K104" s="79"/>
      <c r="L104" s="30"/>
      <c r="M104" s="57"/>
      <c r="N104" s="31"/>
      <c r="O104" s="165"/>
      <c r="P104" s="30"/>
      <c r="Q104" s="42"/>
      <c r="R104" s="30"/>
      <c r="S104" s="26"/>
      <c r="T104" s="45"/>
      <c r="U104" s="73" t="s">
        <v>605</v>
      </c>
    </row>
    <row r="105" spans="1:21" x14ac:dyDescent="0.25">
      <c r="A105" s="454" t="s">
        <v>639</v>
      </c>
      <c r="G105" s="230"/>
      <c r="H105" s="230"/>
      <c r="K105" s="73"/>
      <c r="S105" s="3"/>
      <c r="T105" s="45"/>
    </row>
    <row r="106" spans="1:21" x14ac:dyDescent="0.25">
      <c r="A106" s="322" t="s">
        <v>640</v>
      </c>
      <c r="B106" s="73" t="s">
        <v>617</v>
      </c>
      <c r="C106" s="106">
        <f>$A$179</f>
        <v>0.83</v>
      </c>
      <c r="D106" s="114">
        <v>0.9</v>
      </c>
      <c r="E106" s="115">
        <v>0.95</v>
      </c>
      <c r="F106" s="89">
        <f t="shared" ref="F106" si="101">C106*D106*E106</f>
        <v>0.70965</v>
      </c>
      <c r="G106" s="609">
        <f>B191</f>
        <v>0.13946280991735538</v>
      </c>
      <c r="H106" s="230" t="s">
        <v>608</v>
      </c>
      <c r="I106" s="11">
        <f t="shared" ref="I106" si="102">G106*F106</f>
        <v>9.8969783057851243E-2</v>
      </c>
      <c r="J106" s="21" t="s">
        <v>608</v>
      </c>
      <c r="K106" s="92">
        <f>($D$695)*0.1</f>
        <v>4.4930815500076413</v>
      </c>
      <c r="L106" s="23" t="s">
        <v>366</v>
      </c>
      <c r="M106" s="60">
        <f t="shared" ref="M106" si="103">K106/I106</f>
        <v>45.398518731533244</v>
      </c>
      <c r="N106" s="10" t="s">
        <v>446</v>
      </c>
      <c r="O106" s="164">
        <f>'Equipment Rates 2025'!$E$7</f>
        <v>92.68</v>
      </c>
      <c r="P106" s="35" t="s">
        <v>537</v>
      </c>
      <c r="Q106" s="164">
        <f>'Labor Rates 2025'!$E$12</f>
        <v>48.03</v>
      </c>
      <c r="R106" t="s">
        <v>537</v>
      </c>
      <c r="S106" s="305">
        <f t="shared" ref="S106" si="104">(O106+Q106)*M106</f>
        <v>6388.0255707140432</v>
      </c>
      <c r="T106" s="758">
        <v>5051.5061870410364</v>
      </c>
      <c r="U106" s="73" t="s">
        <v>1881</v>
      </c>
    </row>
    <row r="107" spans="1:21" x14ac:dyDescent="0.25">
      <c r="B107" s="73"/>
      <c r="C107" s="214"/>
      <c r="D107" s="114"/>
      <c r="E107" s="114"/>
      <c r="F107" s="89"/>
      <c r="G107" s="609"/>
      <c r="H107" s="230"/>
      <c r="I107" s="11"/>
      <c r="J107" s="21"/>
      <c r="K107" s="188"/>
      <c r="L107" s="23"/>
      <c r="M107" s="5"/>
      <c r="O107" s="164"/>
      <c r="P107" s="35"/>
      <c r="Q107" s="164"/>
      <c r="S107" s="305"/>
      <c r="T107" s="758"/>
    </row>
    <row r="108" spans="1:21" x14ac:dyDescent="0.25">
      <c r="A108" s="295" t="s">
        <v>1882</v>
      </c>
      <c r="B108" s="73"/>
      <c r="C108" s="214"/>
      <c r="D108" s="114"/>
      <c r="E108" s="114"/>
      <c r="F108" s="89"/>
      <c r="G108" s="609"/>
      <c r="H108" s="230"/>
      <c r="I108" s="11"/>
      <c r="J108" s="21"/>
      <c r="K108" s="188"/>
      <c r="L108" s="23"/>
      <c r="M108" s="5"/>
      <c r="O108" s="164"/>
      <c r="P108" s="35"/>
      <c r="Q108" s="164"/>
      <c r="S108" s="305"/>
      <c r="T108" s="758"/>
    </row>
    <row r="109" spans="1:21" x14ac:dyDescent="0.25">
      <c r="A109" s="454" t="s">
        <v>625</v>
      </c>
      <c r="G109" s="230"/>
      <c r="H109" s="230"/>
      <c r="K109" s="92">
        <f>'AcreageTracking-MAP'!G86</f>
        <v>251.61256680042791</v>
      </c>
      <c r="L109" s="341" t="s">
        <v>366</v>
      </c>
      <c r="S109" s="3"/>
      <c r="T109" s="21"/>
    </row>
    <row r="110" spans="1:21" ht="33.75" customHeight="1" x14ac:dyDescent="0.25">
      <c r="A110" s="583" t="s">
        <v>1892</v>
      </c>
      <c r="B110" t="s">
        <v>1776</v>
      </c>
      <c r="C110" s="227">
        <f>$B$179</f>
        <v>0.75</v>
      </c>
      <c r="D110" s="114">
        <v>0.95</v>
      </c>
      <c r="E110" s="115">
        <v>0.9</v>
      </c>
      <c r="F110" s="228">
        <f>C110*D110*E110</f>
        <v>0.64124999999999999</v>
      </c>
      <c r="G110" s="320">
        <f>$S$294</f>
        <v>1063.3388133313406</v>
      </c>
      <c r="H110" s="230" t="s">
        <v>614</v>
      </c>
      <c r="I110" s="85">
        <f>G110*F110</f>
        <v>681.86601404872215</v>
      </c>
      <c r="J110" s="230" t="s">
        <v>614</v>
      </c>
      <c r="K110" s="756">
        <f>$C$707</f>
        <v>676558.23517448397</v>
      </c>
      <c r="L110" s="233" t="s">
        <v>20</v>
      </c>
      <c r="M110" s="60">
        <f t="shared" ref="M110" si="105">K110/I110</f>
        <v>992.21580374313987</v>
      </c>
      <c r="N110" s="10" t="s">
        <v>446</v>
      </c>
      <c r="O110" s="217">
        <f>S296</f>
        <v>2475.59</v>
      </c>
      <c r="P110" s="35"/>
      <c r="Q110" s="163"/>
      <c r="S110" s="305">
        <f>(O110+Q110)*M110</f>
        <v>2456319.5215884796</v>
      </c>
      <c r="T110" s="758">
        <v>1942401.9398950099</v>
      </c>
      <c r="U110" t="s">
        <v>1883</v>
      </c>
    </row>
    <row r="111" spans="1:21" x14ac:dyDescent="0.25">
      <c r="A111" s="322" t="s">
        <v>314</v>
      </c>
      <c r="B111" t="s">
        <v>641</v>
      </c>
      <c r="C111" s="2"/>
      <c r="D111" s="2"/>
      <c r="E111" s="2"/>
      <c r="F111" s="3"/>
      <c r="G111" s="201"/>
      <c r="H111" s="201"/>
      <c r="K111" s="92">
        <f>'AcreageTracking-MAP'!G87</f>
        <v>50.792273968468322</v>
      </c>
      <c r="L111" s="341" t="s">
        <v>366</v>
      </c>
      <c r="M111" s="3"/>
      <c r="N111" s="3"/>
      <c r="O111" s="164"/>
      <c r="Q111" s="163"/>
      <c r="S111" s="305">
        <v>0</v>
      </c>
      <c r="T111" s="758">
        <v>0</v>
      </c>
    </row>
    <row r="112" spans="1:21" x14ac:dyDescent="0.25">
      <c r="A112" t="s">
        <v>1905</v>
      </c>
      <c r="B112" t="s">
        <v>1777</v>
      </c>
      <c r="G112" s="38"/>
      <c r="H112" s="230"/>
      <c r="K112" s="73"/>
      <c r="S112" s="3"/>
      <c r="T112" s="45"/>
      <c r="U112" s="21" t="s">
        <v>1934</v>
      </c>
    </row>
    <row r="113" spans="1:21" x14ac:dyDescent="0.25">
      <c r="A113" s="322" t="s">
        <v>2187</v>
      </c>
      <c r="B113" t="s">
        <v>1773</v>
      </c>
      <c r="C113" s="227">
        <f>$B$179</f>
        <v>0.75</v>
      </c>
      <c r="D113" s="114">
        <v>0.95</v>
      </c>
      <c r="E113" s="115">
        <v>0.9</v>
      </c>
      <c r="F113" s="228">
        <f>C113*D113*E113</f>
        <v>0.64124999999999999</v>
      </c>
      <c r="G113" s="320">
        <f>$T$294</f>
        <v>315.74074074074076</v>
      </c>
      <c r="H113" s="230" t="s">
        <v>614</v>
      </c>
      <c r="I113" s="85">
        <f>G113*F113</f>
        <v>202.46875</v>
      </c>
      <c r="J113" s="230" t="s">
        <v>614</v>
      </c>
      <c r="K113" s="756">
        <f>K110</f>
        <v>676558.23517448397</v>
      </c>
      <c r="L113" s="328" t="s">
        <v>20</v>
      </c>
      <c r="M113" s="60">
        <f>K113/I113</f>
        <v>3341.5439922184732</v>
      </c>
      <c r="N113" s="10" t="s">
        <v>446</v>
      </c>
      <c r="O113" s="163">
        <f>$T$296</f>
        <v>356.3</v>
      </c>
      <c r="P113" s="35" t="s">
        <v>537</v>
      </c>
      <c r="Q113" s="163"/>
      <c r="R113" s="305">
        <f>(O113*M113)+(M114*O114)</f>
        <v>1993839.7383652548</v>
      </c>
      <c r="S113" s="3"/>
      <c r="T113" s="870">
        <v>3824105.9427794227</v>
      </c>
      <c r="U113" s="21" t="s">
        <v>1886</v>
      </c>
    </row>
    <row r="114" spans="1:21" x14ac:dyDescent="0.25">
      <c r="A114" s="454" t="s">
        <v>2106</v>
      </c>
      <c r="B114" t="s">
        <v>633</v>
      </c>
      <c r="C114" s="227">
        <f>$A$179</f>
        <v>0.83</v>
      </c>
      <c r="D114" s="114">
        <v>0.9</v>
      </c>
      <c r="E114" s="115">
        <v>0.75</v>
      </c>
      <c r="F114" s="228">
        <f>C114*D114*E114</f>
        <v>0.56025000000000003</v>
      </c>
      <c r="G114" s="320">
        <f>$B$218*2</f>
        <v>500</v>
      </c>
      <c r="H114" s="230" t="s">
        <v>614</v>
      </c>
      <c r="I114" s="5">
        <f>G114*F114</f>
        <v>280.125</v>
      </c>
      <c r="J114" t="s">
        <v>614</v>
      </c>
      <c r="K114" s="756">
        <f>$C$707</f>
        <v>676558.23517448397</v>
      </c>
      <c r="L114" t="s">
        <v>20</v>
      </c>
      <c r="M114" s="584">
        <f>K114/I114</f>
        <v>2415.2011965175689</v>
      </c>
      <c r="N114" s="10" t="s">
        <v>446</v>
      </c>
      <c r="O114" s="703">
        <f>'Equipment Rates 2025'!$E$9*2</f>
        <v>332.58</v>
      </c>
      <c r="P114" s="35" t="s">
        <v>537</v>
      </c>
      <c r="Q114" s="164">
        <f>'Labor Rates 2025'!$E$12*2</f>
        <v>96.06</v>
      </c>
      <c r="R114" t="s">
        <v>537</v>
      </c>
      <c r="T114" s="45"/>
      <c r="U114" t="s">
        <v>2107</v>
      </c>
    </row>
    <row r="115" spans="1:21" x14ac:dyDescent="0.25">
      <c r="A115" s="454"/>
      <c r="C115" s="227"/>
      <c r="D115" s="114"/>
      <c r="E115" s="115"/>
      <c r="F115" s="228"/>
      <c r="G115" s="320"/>
      <c r="H115" s="230"/>
      <c r="I115" s="5"/>
      <c r="K115" s="756"/>
      <c r="M115" s="584"/>
      <c r="N115" s="10"/>
      <c r="O115" s="703"/>
      <c r="P115" s="35"/>
      <c r="Q115" s="164"/>
      <c r="T115" s="45"/>
    </row>
    <row r="116" spans="1:21" x14ac:dyDescent="0.25">
      <c r="A116" s="375" t="s">
        <v>642</v>
      </c>
      <c r="B116" s="30"/>
      <c r="C116" s="108"/>
      <c r="D116" s="118"/>
      <c r="E116" s="119"/>
      <c r="F116" s="98"/>
      <c r="G116" s="706"/>
      <c r="H116" s="577"/>
      <c r="I116" s="30"/>
      <c r="J116" s="30"/>
      <c r="K116" s="79"/>
      <c r="L116" s="30"/>
      <c r="M116" s="58"/>
      <c r="N116" s="59"/>
      <c r="O116" s="165"/>
      <c r="P116" s="30"/>
      <c r="Q116" s="42"/>
      <c r="R116" s="30"/>
      <c r="S116" s="26"/>
      <c r="T116" s="45"/>
      <c r="U116" s="73" t="s">
        <v>605</v>
      </c>
    </row>
    <row r="117" spans="1:21" s="73" customFormat="1" x14ac:dyDescent="0.25">
      <c r="A117" s="454" t="s">
        <v>643</v>
      </c>
      <c r="B117" s="73" t="s">
        <v>644</v>
      </c>
      <c r="C117" s="227"/>
      <c r="D117" s="114"/>
      <c r="E117" s="115"/>
      <c r="F117" s="228"/>
      <c r="G117" s="229"/>
      <c r="H117" s="230"/>
      <c r="I117" s="231"/>
      <c r="J117" s="230"/>
      <c r="K117" s="85">
        <f>B747</f>
        <v>7812708.4036494233</v>
      </c>
      <c r="L117" s="233" t="s">
        <v>20</v>
      </c>
      <c r="M117" s="234"/>
      <c r="N117" s="235"/>
      <c r="O117" s="236"/>
      <c r="P117" s="237"/>
      <c r="Q117" s="238"/>
      <c r="S117" s="613">
        <f>E767</f>
        <v>538212.62219181855</v>
      </c>
      <c r="T117" s="758">
        <v>529304.73872858798</v>
      </c>
      <c r="U117" s="73" t="s">
        <v>645</v>
      </c>
    </row>
    <row r="118" spans="1:21" s="38" customFormat="1" x14ac:dyDescent="0.25">
      <c r="A118" s="454" t="s">
        <v>646</v>
      </c>
      <c r="C118" s="202"/>
      <c r="D118" s="203"/>
      <c r="E118" s="204"/>
      <c r="F118" s="205"/>
      <c r="G118" s="229"/>
      <c r="H118" s="230"/>
      <c r="I118" s="207"/>
      <c r="J118" s="206"/>
      <c r="K118" s="232"/>
      <c r="L118" s="208"/>
      <c r="M118" s="209"/>
      <c r="N118" s="210"/>
      <c r="O118" s="211"/>
      <c r="P118" s="212"/>
      <c r="Q118" s="213"/>
      <c r="S118" s="614"/>
      <c r="T118" s="758"/>
    </row>
    <row r="119" spans="1:21" x14ac:dyDescent="0.25">
      <c r="A119" s="460" t="s">
        <v>1779</v>
      </c>
      <c r="B119" t="s">
        <v>1776</v>
      </c>
      <c r="C119" s="227">
        <f>$B$179</f>
        <v>0.75</v>
      </c>
      <c r="D119" s="114">
        <v>0.95</v>
      </c>
      <c r="E119" s="115">
        <v>0.9</v>
      </c>
      <c r="F119" s="228">
        <f>C119*D119*E119</f>
        <v>0.64124999999999999</v>
      </c>
      <c r="G119" s="320">
        <f>$S$294</f>
        <v>1063.3388133313406</v>
      </c>
      <c r="H119" s="230" t="s">
        <v>614</v>
      </c>
      <c r="I119" s="85">
        <f>G119*F119</f>
        <v>681.86601404872215</v>
      </c>
      <c r="J119" s="230" t="s">
        <v>614</v>
      </c>
      <c r="K119" s="756">
        <f>B748</f>
        <v>1562541.6807298847</v>
      </c>
      <c r="L119" s="233" t="s">
        <v>20</v>
      </c>
      <c r="M119" s="234">
        <f>K119/I119</f>
        <v>2291.5670359517794</v>
      </c>
      <c r="N119" s="235" t="s">
        <v>446</v>
      </c>
      <c r="O119" s="247">
        <f>$U$296</f>
        <v>1224.3400000000001</v>
      </c>
      <c r="P119" s="237" t="s">
        <v>537</v>
      </c>
      <c r="Q119" s="238"/>
      <c r="R119" s="237"/>
      <c r="S119" s="613">
        <f>(O119+Q119)*M119</f>
        <v>2805657.1847972018</v>
      </c>
      <c r="T119" s="758">
        <v>2791273.3981901198</v>
      </c>
      <c r="U119" s="73" t="s">
        <v>1887</v>
      </c>
    </row>
    <row r="120" spans="1:21" s="38" customFormat="1" x14ac:dyDescent="0.25">
      <c r="A120" s="452"/>
      <c r="C120" s="202"/>
      <c r="D120" s="203"/>
      <c r="E120" s="204"/>
      <c r="F120" s="205"/>
      <c r="G120" s="229"/>
      <c r="H120" s="230"/>
      <c r="I120" s="207"/>
      <c r="J120" s="206"/>
      <c r="K120" s="232"/>
      <c r="L120" s="208"/>
      <c r="M120" s="209"/>
      <c r="N120" s="210"/>
      <c r="O120" s="211"/>
      <c r="P120" s="212"/>
      <c r="Q120" s="213"/>
      <c r="S120" s="614"/>
      <c r="T120" s="758"/>
    </row>
    <row r="121" spans="1:21" x14ac:dyDescent="0.25">
      <c r="A121" s="375" t="s">
        <v>647</v>
      </c>
      <c r="B121" s="30"/>
      <c r="C121" s="108"/>
      <c r="D121" s="118"/>
      <c r="E121" s="119"/>
      <c r="F121" s="98"/>
      <c r="G121" s="577"/>
      <c r="H121" s="577"/>
      <c r="I121" s="30"/>
      <c r="J121" s="30"/>
      <c r="K121" s="79"/>
      <c r="L121" s="30"/>
      <c r="M121" s="58"/>
      <c r="N121" s="59"/>
      <c r="O121" s="165"/>
      <c r="P121" s="30"/>
      <c r="Q121" s="42"/>
      <c r="R121" s="30"/>
      <c r="S121" s="26"/>
      <c r="T121" s="21"/>
      <c r="U121" s="73" t="s">
        <v>605</v>
      </c>
    </row>
    <row r="122" spans="1:21" s="73" customFormat="1" x14ac:dyDescent="0.25">
      <c r="A122" s="454" t="s">
        <v>648</v>
      </c>
      <c r="B122" s="73" t="s">
        <v>649</v>
      </c>
      <c r="C122" s="227"/>
      <c r="D122" s="114"/>
      <c r="E122" s="115"/>
      <c r="F122" s="228"/>
      <c r="G122" s="229"/>
      <c r="H122" s="230"/>
      <c r="I122" s="231"/>
      <c r="J122" s="230"/>
      <c r="K122" s="232"/>
      <c r="L122" s="233"/>
      <c r="M122" s="234"/>
      <c r="N122" s="235"/>
      <c r="O122" s="236"/>
      <c r="P122" s="237"/>
      <c r="Q122" s="238"/>
      <c r="S122" s="613">
        <f>D842</f>
        <v>601457.64920037449</v>
      </c>
      <c r="T122" s="758">
        <v>599202.51523444243</v>
      </c>
    </row>
    <row r="123" spans="1:21" s="73" customFormat="1" x14ac:dyDescent="0.25">
      <c r="A123" s="454"/>
      <c r="C123" s="114"/>
      <c r="D123" s="114"/>
      <c r="E123" s="114"/>
      <c r="F123" s="228"/>
      <c r="G123" s="229"/>
      <c r="H123" s="230"/>
      <c r="I123" s="231"/>
      <c r="J123" s="230"/>
      <c r="K123" s="232"/>
      <c r="L123" s="233"/>
      <c r="M123" s="294"/>
      <c r="O123" s="236"/>
      <c r="P123" s="237"/>
      <c r="Q123" s="238"/>
      <c r="S123" s="613"/>
      <c r="T123" s="758"/>
    </row>
    <row r="124" spans="1:21" x14ac:dyDescent="0.25">
      <c r="A124" s="375" t="s">
        <v>650</v>
      </c>
      <c r="B124" s="30"/>
      <c r="C124" s="108"/>
      <c r="D124" s="118"/>
      <c r="E124" s="119"/>
      <c r="F124" s="98"/>
      <c r="G124" s="577"/>
      <c r="H124" s="577"/>
      <c r="I124" s="30"/>
      <c r="J124" s="30"/>
      <c r="K124" s="79"/>
      <c r="L124" s="30"/>
      <c r="M124" s="58"/>
      <c r="N124" s="59"/>
      <c r="O124" s="165"/>
      <c r="P124" s="30"/>
      <c r="Q124" s="42"/>
      <c r="R124" s="30"/>
      <c r="S124" s="26"/>
      <c r="T124" s="21"/>
      <c r="U124" s="73" t="s">
        <v>605</v>
      </c>
    </row>
    <row r="125" spans="1:21" s="73" customFormat="1" x14ac:dyDescent="0.25">
      <c r="A125" s="454" t="s">
        <v>651</v>
      </c>
      <c r="B125" s="73" t="s">
        <v>620</v>
      </c>
      <c r="C125" s="227"/>
      <c r="D125" s="114"/>
      <c r="E125" s="115"/>
      <c r="F125" s="228"/>
      <c r="G125" s="229"/>
      <c r="H125" s="230"/>
      <c r="I125" s="85">
        <v>4</v>
      </c>
      <c r="J125" s="230" t="s">
        <v>652</v>
      </c>
      <c r="K125" s="85">
        <v>10</v>
      </c>
      <c r="L125" s="233" t="s">
        <v>653</v>
      </c>
      <c r="M125" s="234">
        <f>I125*K125</f>
        <v>40</v>
      </c>
      <c r="N125" s="235" t="s">
        <v>446</v>
      </c>
      <c r="O125" s="236">
        <f>'Equipment Rates 2025'!E9</f>
        <v>166.29</v>
      </c>
      <c r="P125" s="237" t="s">
        <v>537</v>
      </c>
      <c r="Q125" s="164">
        <f>'Labor Rates 2025'!$E$12</f>
        <v>48.03</v>
      </c>
      <c r="R125" s="73" t="s">
        <v>537</v>
      </c>
      <c r="S125" s="613">
        <f>((O125+Q125)*M125)+B885</f>
        <v>16636.67658402204</v>
      </c>
      <c r="T125" s="758">
        <v>16636.67658402204</v>
      </c>
      <c r="U125" s="73" t="s">
        <v>654</v>
      </c>
    </row>
    <row r="126" spans="1:21" s="73" customFormat="1" x14ac:dyDescent="0.25">
      <c r="A126" s="454"/>
      <c r="C126" s="114"/>
      <c r="D126" s="114"/>
      <c r="E126" s="114"/>
      <c r="F126" s="228"/>
      <c r="G126" s="229"/>
      <c r="H126" s="230"/>
      <c r="I126" s="231"/>
      <c r="J126" s="230"/>
      <c r="K126" s="232"/>
      <c r="L126" s="233"/>
      <c r="M126" s="294"/>
      <c r="O126" s="236"/>
      <c r="P126" s="237"/>
      <c r="Q126" s="238"/>
      <c r="S126" s="613"/>
      <c r="T126" s="758"/>
      <c r="U126" s="230"/>
    </row>
    <row r="127" spans="1:21" x14ac:dyDescent="0.25">
      <c r="A127" s="375" t="s">
        <v>655</v>
      </c>
      <c r="B127" s="79"/>
      <c r="C127" s="313"/>
      <c r="D127" s="116"/>
      <c r="E127" s="117"/>
      <c r="F127" s="314"/>
      <c r="G127" s="607"/>
      <c r="H127" s="607"/>
      <c r="I127" s="79"/>
      <c r="J127" s="79"/>
      <c r="K127" s="79"/>
      <c r="L127" s="79"/>
      <c r="M127" s="315"/>
      <c r="N127" s="316"/>
      <c r="O127" s="317"/>
      <c r="P127" s="79"/>
      <c r="Q127" s="318"/>
      <c r="R127" s="79"/>
      <c r="S127" s="314"/>
      <c r="T127" s="21"/>
    </row>
    <row r="128" spans="1:21" x14ac:dyDescent="0.25">
      <c r="A128" s="454" t="s">
        <v>656</v>
      </c>
      <c r="B128" s="73" t="s">
        <v>620</v>
      </c>
      <c r="C128" s="227"/>
      <c r="D128" s="114"/>
      <c r="E128" s="115"/>
      <c r="F128" s="228"/>
      <c r="G128" s="230"/>
      <c r="H128" s="230"/>
      <c r="I128" s="85">
        <v>100</v>
      </c>
      <c r="J128" s="230" t="s">
        <v>657</v>
      </c>
      <c r="K128" s="73">
        <v>19500</v>
      </c>
      <c r="L128" s="233" t="s">
        <v>418</v>
      </c>
      <c r="M128" s="234">
        <f>K128/I128</f>
        <v>195</v>
      </c>
      <c r="N128" s="235" t="s">
        <v>446</v>
      </c>
      <c r="O128" s="236">
        <f>'Equipment Rates 2025'!$E$9</f>
        <v>166.29</v>
      </c>
      <c r="P128" s="237" t="s">
        <v>537</v>
      </c>
      <c r="Q128" s="164">
        <f>'Labor Rates 2025'!$E$12</f>
        <v>48.03</v>
      </c>
      <c r="R128" s="73" t="s">
        <v>537</v>
      </c>
      <c r="S128" s="613">
        <f>(O128+Q128)*M128</f>
        <v>41792.400000000001</v>
      </c>
      <c r="T128" s="758">
        <v>41792.400000000001</v>
      </c>
      <c r="U128" s="73" t="s">
        <v>658</v>
      </c>
    </row>
    <row r="129" spans="1:21" x14ac:dyDescent="0.25">
      <c r="A129" s="454" t="s">
        <v>659</v>
      </c>
      <c r="B129" s="73" t="s">
        <v>620</v>
      </c>
      <c r="C129" s="227"/>
      <c r="D129" s="114"/>
      <c r="E129" s="115"/>
      <c r="F129" s="228"/>
      <c r="G129" s="230"/>
      <c r="H129" s="230"/>
      <c r="I129" s="85">
        <v>100</v>
      </c>
      <c r="J129" s="230" t="s">
        <v>657</v>
      </c>
      <c r="K129" s="73">
        <v>16500</v>
      </c>
      <c r="L129" s="233" t="s">
        <v>418</v>
      </c>
      <c r="M129" s="234">
        <f>K129/I129</f>
        <v>165</v>
      </c>
      <c r="N129" s="235" t="s">
        <v>446</v>
      </c>
      <c r="O129" s="236">
        <f>'Equipment Rates 2025'!$E$9</f>
        <v>166.29</v>
      </c>
      <c r="P129" s="237" t="s">
        <v>537</v>
      </c>
      <c r="Q129" s="164">
        <f>'Labor Rates 2025'!$E$12</f>
        <v>48.03</v>
      </c>
      <c r="R129" s="73" t="s">
        <v>537</v>
      </c>
      <c r="S129" s="613">
        <f>(O129+Q129)*M129</f>
        <v>35362.799999999996</v>
      </c>
      <c r="T129" s="758">
        <v>35362.799999999996</v>
      </c>
      <c r="U129" s="73" t="s">
        <v>658</v>
      </c>
    </row>
    <row r="130" spans="1:21" x14ac:dyDescent="0.25">
      <c r="A130" s="454" t="s">
        <v>660</v>
      </c>
      <c r="B130" s="73" t="s">
        <v>661</v>
      </c>
      <c r="C130" s="227"/>
      <c r="D130" s="114"/>
      <c r="E130" s="115"/>
      <c r="F130" s="228"/>
      <c r="G130" s="230"/>
      <c r="H130" s="230"/>
      <c r="I130" s="85"/>
      <c r="J130" s="230"/>
      <c r="K130" s="73"/>
      <c r="L130" s="233"/>
      <c r="M130" s="234"/>
      <c r="N130" s="235"/>
      <c r="O130" s="236"/>
      <c r="P130" s="237"/>
      <c r="Q130" s="238"/>
      <c r="R130" s="73"/>
      <c r="S130" s="613">
        <v>0</v>
      </c>
      <c r="T130" s="758">
        <v>0</v>
      </c>
      <c r="U130" t="s">
        <v>662</v>
      </c>
    </row>
    <row r="131" spans="1:21" x14ac:dyDescent="0.25">
      <c r="A131" s="454" t="s">
        <v>274</v>
      </c>
      <c r="B131" s="73" t="s">
        <v>620</v>
      </c>
      <c r="C131" s="227"/>
      <c r="D131" s="114"/>
      <c r="E131" s="115"/>
      <c r="F131" s="228"/>
      <c r="G131" s="230"/>
      <c r="H131" s="230"/>
      <c r="I131" s="85">
        <v>100</v>
      </c>
      <c r="J131" s="230" t="s">
        <v>657</v>
      </c>
      <c r="K131" s="73">
        <v>1000</v>
      </c>
      <c r="L131" s="233" t="s">
        <v>418</v>
      </c>
      <c r="M131" s="234">
        <f>K131/I131</f>
        <v>10</v>
      </c>
      <c r="N131" s="235" t="s">
        <v>446</v>
      </c>
      <c r="O131" s="236">
        <f>'Equipment Rates 2025'!$E$9</f>
        <v>166.29</v>
      </c>
      <c r="P131" s="237" t="s">
        <v>537</v>
      </c>
      <c r="Q131" s="164">
        <f>'Labor Rates 2025'!$E$12</f>
        <v>48.03</v>
      </c>
      <c r="R131" s="73" t="s">
        <v>537</v>
      </c>
      <c r="S131" s="613">
        <f>(O131+Q131)*M131</f>
        <v>2143.1999999999998</v>
      </c>
      <c r="T131" s="758">
        <v>2143.1999999999998</v>
      </c>
      <c r="U131" s="73" t="s">
        <v>658</v>
      </c>
    </row>
    <row r="132" spans="1:21" x14ac:dyDescent="0.25">
      <c r="A132" s="454" t="s">
        <v>275</v>
      </c>
      <c r="B132" s="73" t="s">
        <v>620</v>
      </c>
      <c r="C132" s="227"/>
      <c r="D132" s="114"/>
      <c r="E132" s="115"/>
      <c r="F132" s="228"/>
      <c r="G132" s="230"/>
      <c r="H132" s="230"/>
      <c r="I132" s="85">
        <v>100</v>
      </c>
      <c r="J132" s="230" t="s">
        <v>657</v>
      </c>
      <c r="K132" s="73">
        <v>15000</v>
      </c>
      <c r="L132" s="233" t="s">
        <v>418</v>
      </c>
      <c r="M132" s="234">
        <f>K132/I132</f>
        <v>150</v>
      </c>
      <c r="N132" s="235" t="s">
        <v>446</v>
      </c>
      <c r="O132" s="236">
        <f>'Equipment Rates 2025'!$E$9</f>
        <v>166.29</v>
      </c>
      <c r="P132" s="237" t="s">
        <v>537</v>
      </c>
      <c r="Q132" s="164">
        <f>'Labor Rates 2025'!$E$12</f>
        <v>48.03</v>
      </c>
      <c r="R132" s="73" t="s">
        <v>537</v>
      </c>
      <c r="S132" s="613">
        <f>(O132+Q132)*M132</f>
        <v>32148</v>
      </c>
      <c r="T132" s="758">
        <v>32148</v>
      </c>
      <c r="U132" s="73" t="s">
        <v>658</v>
      </c>
    </row>
    <row r="133" spans="1:21" x14ac:dyDescent="0.25">
      <c r="A133" s="454" t="s">
        <v>277</v>
      </c>
      <c r="B133" s="73" t="s">
        <v>398</v>
      </c>
      <c r="C133" s="227"/>
      <c r="D133" s="114"/>
      <c r="E133" s="115"/>
      <c r="F133" s="73"/>
      <c r="G133" s="229"/>
      <c r="H133" s="230"/>
      <c r="I133" s="85"/>
      <c r="J133" s="230"/>
      <c r="K133" s="232"/>
      <c r="L133" s="233"/>
      <c r="M133" s="234"/>
      <c r="N133" s="235"/>
      <c r="O133" s="236"/>
      <c r="P133" s="237"/>
      <c r="Q133" s="238"/>
      <c r="R133" s="73"/>
      <c r="S133" s="613">
        <f t="shared" ref="S133" si="106">(O133+Q133)*M133</f>
        <v>0</v>
      </c>
      <c r="T133" s="758">
        <v>0</v>
      </c>
      <c r="U133" s="164" t="s">
        <v>399</v>
      </c>
    </row>
    <row r="134" spans="1:21" x14ac:dyDescent="0.25">
      <c r="A134" s="454" t="s">
        <v>663</v>
      </c>
      <c r="B134" s="73" t="s">
        <v>620</v>
      </c>
      <c r="C134" s="227"/>
      <c r="D134" s="114"/>
      <c r="E134" s="115"/>
      <c r="F134" s="228"/>
      <c r="G134" s="230"/>
      <c r="H134" s="230"/>
      <c r="I134" s="85">
        <v>100</v>
      </c>
      <c r="J134" s="230" t="s">
        <v>657</v>
      </c>
      <c r="K134" s="73">
        <v>11000</v>
      </c>
      <c r="L134" s="233" t="s">
        <v>418</v>
      </c>
      <c r="M134" s="234">
        <f>K134/I134</f>
        <v>110</v>
      </c>
      <c r="N134" s="235" t="s">
        <v>446</v>
      </c>
      <c r="O134" s="236">
        <f>'Equipment Rates 2025'!$E$9</f>
        <v>166.29</v>
      </c>
      <c r="P134" s="237" t="s">
        <v>537</v>
      </c>
      <c r="Q134" s="164">
        <f>'Labor Rates 2025'!$E$12</f>
        <v>48.03</v>
      </c>
      <c r="R134" s="73" t="s">
        <v>537</v>
      </c>
      <c r="S134" s="613">
        <f>(O134+Q134)*M134</f>
        <v>23575.200000000001</v>
      </c>
      <c r="T134" s="758">
        <v>23575.200000000001</v>
      </c>
      <c r="U134" s="73" t="s">
        <v>658</v>
      </c>
    </row>
    <row r="135" spans="1:21" x14ac:dyDescent="0.25">
      <c r="A135" s="454" t="s">
        <v>278</v>
      </c>
      <c r="B135" s="73" t="s">
        <v>398</v>
      </c>
      <c r="C135" s="227"/>
      <c r="D135" s="114"/>
      <c r="E135" s="115"/>
      <c r="F135" s="73"/>
      <c r="G135" s="229"/>
      <c r="H135" s="230"/>
      <c r="I135" s="85"/>
      <c r="J135" s="230"/>
      <c r="K135" s="232"/>
      <c r="L135" s="233"/>
      <c r="M135" s="234"/>
      <c r="N135" s="235"/>
      <c r="O135" s="236"/>
      <c r="P135" s="237"/>
      <c r="Q135" s="238"/>
      <c r="R135" s="73"/>
      <c r="S135" s="613">
        <f t="shared" ref="S135" si="107">(O135+Q135)*M135</f>
        <v>0</v>
      </c>
      <c r="T135" s="758">
        <v>0</v>
      </c>
      <c r="U135" s="164" t="s">
        <v>399</v>
      </c>
    </row>
    <row r="136" spans="1:21" x14ac:dyDescent="0.25">
      <c r="A136" s="454" t="s">
        <v>279</v>
      </c>
      <c r="B136" s="73" t="s">
        <v>620</v>
      </c>
      <c r="C136" s="227"/>
      <c r="D136" s="114"/>
      <c r="E136" s="115"/>
      <c r="F136" s="228"/>
      <c r="G136" s="230"/>
      <c r="H136" s="230"/>
      <c r="I136" s="85">
        <v>100</v>
      </c>
      <c r="J136" s="230" t="s">
        <v>657</v>
      </c>
      <c r="K136" s="73">
        <v>1000</v>
      </c>
      <c r="L136" s="233" t="s">
        <v>418</v>
      </c>
      <c r="M136" s="234">
        <f>K136/I136</f>
        <v>10</v>
      </c>
      <c r="N136" s="235" t="s">
        <v>446</v>
      </c>
      <c r="O136" s="236">
        <f>'Equipment Rates 2025'!$E$9</f>
        <v>166.29</v>
      </c>
      <c r="P136" s="237" t="s">
        <v>537</v>
      </c>
      <c r="Q136" s="164">
        <f>'Labor Rates 2025'!$E$12</f>
        <v>48.03</v>
      </c>
      <c r="R136" s="73" t="s">
        <v>537</v>
      </c>
      <c r="S136" s="613">
        <f>(O136+Q136)*M136</f>
        <v>2143.1999999999998</v>
      </c>
      <c r="T136" s="758">
        <v>2143.1999999999998</v>
      </c>
      <c r="U136" s="73" t="s">
        <v>658</v>
      </c>
    </row>
    <row r="137" spans="1:21" x14ac:dyDescent="0.25">
      <c r="A137" s="454" t="s">
        <v>280</v>
      </c>
      <c r="B137" s="73" t="s">
        <v>620</v>
      </c>
      <c r="C137" s="227"/>
      <c r="D137" s="114"/>
      <c r="E137" s="115"/>
      <c r="F137" s="228"/>
      <c r="G137" s="230"/>
      <c r="H137" s="230"/>
      <c r="I137" s="85">
        <v>100</v>
      </c>
      <c r="J137" s="230" t="s">
        <v>657</v>
      </c>
      <c r="K137" s="73">
        <v>7000</v>
      </c>
      <c r="L137" s="233" t="s">
        <v>418</v>
      </c>
      <c r="M137" s="234">
        <f>K137/I137</f>
        <v>70</v>
      </c>
      <c r="N137" s="235" t="s">
        <v>446</v>
      </c>
      <c r="O137" s="236">
        <f>'Equipment Rates 2025'!$E$9</f>
        <v>166.29</v>
      </c>
      <c r="P137" s="237" t="s">
        <v>537</v>
      </c>
      <c r="Q137" s="164">
        <f>'Labor Rates 2025'!$E$12</f>
        <v>48.03</v>
      </c>
      <c r="R137" s="73" t="s">
        <v>537</v>
      </c>
      <c r="S137" s="613">
        <f>(O137+Q137)*M137</f>
        <v>15002.4</v>
      </c>
      <c r="T137" s="758">
        <v>15002.4</v>
      </c>
      <c r="U137" s="73" t="s">
        <v>658</v>
      </c>
    </row>
    <row r="138" spans="1:21" x14ac:dyDescent="0.25">
      <c r="A138" s="454" t="s">
        <v>318</v>
      </c>
      <c r="B138" s="73" t="s">
        <v>661</v>
      </c>
      <c r="C138" s="114"/>
      <c r="D138" s="114"/>
      <c r="E138" s="114"/>
      <c r="F138" s="228"/>
      <c r="G138" s="230"/>
      <c r="H138" s="230"/>
      <c r="I138" s="85"/>
      <c r="J138" s="230"/>
      <c r="K138" s="73"/>
      <c r="L138" s="233"/>
      <c r="M138" s="294"/>
      <c r="N138" s="73"/>
      <c r="O138" s="236"/>
      <c r="P138" s="237"/>
      <c r="Q138" s="238"/>
      <c r="R138" s="73"/>
      <c r="S138" s="613">
        <v>0</v>
      </c>
      <c r="T138" s="758">
        <v>0</v>
      </c>
      <c r="U138" t="s">
        <v>637</v>
      </c>
    </row>
    <row r="139" spans="1:21" x14ac:dyDescent="0.25">
      <c r="A139" s="454" t="s">
        <v>283</v>
      </c>
      <c r="B139" s="73" t="s">
        <v>620</v>
      </c>
      <c r="C139" s="227"/>
      <c r="D139" s="114"/>
      <c r="E139" s="115"/>
      <c r="F139" s="228"/>
      <c r="G139" s="230"/>
      <c r="H139" s="230"/>
      <c r="I139" s="85">
        <v>100</v>
      </c>
      <c r="J139" s="230" t="s">
        <v>657</v>
      </c>
      <c r="K139" s="73">
        <v>7000</v>
      </c>
      <c r="L139" s="233" t="s">
        <v>418</v>
      </c>
      <c r="M139" s="234">
        <f>K139/I139</f>
        <v>70</v>
      </c>
      <c r="N139" s="235" t="s">
        <v>446</v>
      </c>
      <c r="O139" s="236">
        <f>'Equipment Rates 2025'!$E$9</f>
        <v>166.29</v>
      </c>
      <c r="P139" s="237" t="s">
        <v>537</v>
      </c>
      <c r="Q139" s="164">
        <f>'Labor Rates 2025'!$E$12</f>
        <v>48.03</v>
      </c>
      <c r="R139" s="73" t="s">
        <v>537</v>
      </c>
      <c r="S139" s="613">
        <f>(O139+Q139)*M139</f>
        <v>15002.4</v>
      </c>
      <c r="T139" s="758">
        <v>15002.4</v>
      </c>
      <c r="U139" s="73" t="s">
        <v>658</v>
      </c>
    </row>
    <row r="140" spans="1:21" x14ac:dyDescent="0.25">
      <c r="A140" s="454" t="s">
        <v>323</v>
      </c>
      <c r="B140" s="73" t="s">
        <v>661</v>
      </c>
      <c r="C140" s="114"/>
      <c r="D140" s="114"/>
      <c r="E140" s="114"/>
      <c r="F140" s="228"/>
      <c r="G140" s="230"/>
      <c r="H140" s="230"/>
      <c r="I140" s="85"/>
      <c r="J140" s="230"/>
      <c r="K140" s="73"/>
      <c r="L140" s="233"/>
      <c r="M140" s="294"/>
      <c r="N140" s="73"/>
      <c r="O140" s="236"/>
      <c r="P140" s="237"/>
      <c r="Q140" s="238"/>
      <c r="R140" s="73"/>
      <c r="S140" s="613">
        <v>0</v>
      </c>
      <c r="T140" s="758">
        <v>0</v>
      </c>
      <c r="U140" t="s">
        <v>637</v>
      </c>
    </row>
    <row r="141" spans="1:21" x14ac:dyDescent="0.25">
      <c r="A141" s="454" t="s">
        <v>285</v>
      </c>
      <c r="B141" s="73" t="s">
        <v>620</v>
      </c>
      <c r="C141" s="227"/>
      <c r="D141" s="114"/>
      <c r="E141" s="115"/>
      <c r="F141" s="228"/>
      <c r="G141" s="230"/>
      <c r="H141" s="230"/>
      <c r="I141" s="85">
        <v>100</v>
      </c>
      <c r="J141" s="230" t="s">
        <v>657</v>
      </c>
      <c r="K141" s="73">
        <v>650</v>
      </c>
      <c r="L141" s="233" t="s">
        <v>418</v>
      </c>
      <c r="M141" s="234">
        <f>K141/I141</f>
        <v>6.5</v>
      </c>
      <c r="N141" s="235" t="s">
        <v>446</v>
      </c>
      <c r="O141" s="236">
        <f>'Equipment Rates 2025'!$E$9</f>
        <v>166.29</v>
      </c>
      <c r="P141" s="237" t="s">
        <v>537</v>
      </c>
      <c r="Q141" s="164">
        <f>'Labor Rates 2025'!$E$12</f>
        <v>48.03</v>
      </c>
      <c r="R141" s="73" t="s">
        <v>537</v>
      </c>
      <c r="S141" s="613">
        <f>(O141+Q141)*M141</f>
        <v>1393.08</v>
      </c>
      <c r="T141" s="758">
        <v>1393.08</v>
      </c>
      <c r="U141" s="73" t="s">
        <v>658</v>
      </c>
    </row>
    <row r="142" spans="1:21" x14ac:dyDescent="0.25">
      <c r="A142" s="454" t="s">
        <v>664</v>
      </c>
      <c r="B142" s="73" t="s">
        <v>620</v>
      </c>
      <c r="C142" s="227"/>
      <c r="D142" s="114"/>
      <c r="E142" s="115"/>
      <c r="F142" s="228"/>
      <c r="G142" s="230"/>
      <c r="H142" s="230"/>
      <c r="I142" s="85">
        <v>100</v>
      </c>
      <c r="J142" s="230" t="s">
        <v>657</v>
      </c>
      <c r="K142" s="85">
        <f>B379</f>
        <v>34877.912132488476</v>
      </c>
      <c r="L142" s="233" t="s">
        <v>418</v>
      </c>
      <c r="M142" s="234">
        <f>K142/I142</f>
        <v>348.77912132488478</v>
      </c>
      <c r="N142" s="235" t="s">
        <v>446</v>
      </c>
      <c r="O142" s="236">
        <f>'Equipment Rates 2025'!$E$9</f>
        <v>166.29</v>
      </c>
      <c r="P142" s="237" t="s">
        <v>537</v>
      </c>
      <c r="Q142" s="164">
        <f>'Labor Rates 2025'!$E$12</f>
        <v>48.03</v>
      </c>
      <c r="R142" s="73" t="s">
        <v>537</v>
      </c>
      <c r="S142" s="613">
        <f>(O142+Q142)*M142</f>
        <v>74750.341282349298</v>
      </c>
      <c r="T142" s="758">
        <v>104324.59057893444</v>
      </c>
      <c r="U142" s="73" t="s">
        <v>658</v>
      </c>
    </row>
    <row r="143" spans="1:21" x14ac:dyDescent="0.25">
      <c r="A143" s="454" t="s">
        <v>665</v>
      </c>
      <c r="B143" s="73" t="s">
        <v>398</v>
      </c>
      <c r="C143" s="227"/>
      <c r="D143" s="114"/>
      <c r="E143" s="115"/>
      <c r="F143" s="73"/>
      <c r="G143" s="229"/>
      <c r="H143" s="230"/>
      <c r="I143" s="85"/>
      <c r="J143" s="230"/>
      <c r="K143" s="232"/>
      <c r="L143" s="233"/>
      <c r="M143" s="234"/>
      <c r="N143" s="235"/>
      <c r="O143" s="236"/>
      <c r="P143" s="237"/>
      <c r="Q143" s="238"/>
      <c r="R143" s="73"/>
      <c r="S143" s="613">
        <f t="shared" ref="S143" si="108">(O143+Q143)*M143</f>
        <v>0</v>
      </c>
      <c r="T143" s="758">
        <v>0</v>
      </c>
      <c r="U143" s="164" t="s">
        <v>399</v>
      </c>
    </row>
    <row r="144" spans="1:21" x14ac:dyDescent="0.25">
      <c r="A144" s="454" t="s">
        <v>666</v>
      </c>
      <c r="B144" s="73" t="s">
        <v>620</v>
      </c>
      <c r="C144" s="227">
        <f>$A$179</f>
        <v>0.83</v>
      </c>
      <c r="D144" s="114">
        <v>0.9</v>
      </c>
      <c r="E144" s="115">
        <v>0.95</v>
      </c>
      <c r="F144" s="228">
        <f>C144*D144*E144</f>
        <v>0.70965</v>
      </c>
      <c r="G144" s="230">
        <v>0.25</v>
      </c>
      <c r="H144" s="230" t="s">
        <v>608</v>
      </c>
      <c r="I144" s="85">
        <v>100</v>
      </c>
      <c r="J144" s="230" t="s">
        <v>657</v>
      </c>
      <c r="K144" s="73">
        <v>8850</v>
      </c>
      <c r="L144" s="233" t="s">
        <v>418</v>
      </c>
      <c r="M144" s="234">
        <f>K144/I144</f>
        <v>88.5</v>
      </c>
      <c r="N144" s="235" t="s">
        <v>446</v>
      </c>
      <c r="O144" s="236">
        <f>'Equipment Rates 2025'!$E$9</f>
        <v>166.29</v>
      </c>
      <c r="P144" s="237" t="s">
        <v>537</v>
      </c>
      <c r="Q144" s="164">
        <f>'Labor Rates 2025'!$E$12</f>
        <v>48.03</v>
      </c>
      <c r="R144" s="73" t="s">
        <v>537</v>
      </c>
      <c r="S144" s="613">
        <f>(O144+Q144)*M144</f>
        <v>18967.32</v>
      </c>
      <c r="T144" s="758">
        <v>18967.32</v>
      </c>
      <c r="U144" s="73" t="s">
        <v>667</v>
      </c>
    </row>
    <row r="145" spans="1:22" x14ac:dyDescent="0.25">
      <c r="A145" s="454" t="s">
        <v>668</v>
      </c>
      <c r="B145" s="73" t="s">
        <v>620</v>
      </c>
      <c r="C145" s="227">
        <f>$A$179</f>
        <v>0.83</v>
      </c>
      <c r="D145" s="114">
        <v>0.9</v>
      </c>
      <c r="E145" s="115">
        <v>0.95</v>
      </c>
      <c r="F145" s="228">
        <f>C145*D145*E145</f>
        <v>0.70965</v>
      </c>
      <c r="G145" s="230">
        <v>0.25</v>
      </c>
      <c r="H145" s="230" t="s">
        <v>608</v>
      </c>
      <c r="I145" s="85">
        <v>100</v>
      </c>
      <c r="J145" s="230" t="s">
        <v>657</v>
      </c>
      <c r="K145" s="73">
        <v>4800</v>
      </c>
      <c r="L145" s="233" t="s">
        <v>418</v>
      </c>
      <c r="M145" s="234">
        <f>K145/I145</f>
        <v>48</v>
      </c>
      <c r="N145" s="235" t="s">
        <v>446</v>
      </c>
      <c r="O145" s="236">
        <f>'Equipment Rates 2025'!$E$9</f>
        <v>166.29</v>
      </c>
      <c r="P145" s="237" t="s">
        <v>537</v>
      </c>
      <c r="Q145" s="164">
        <f>'Labor Rates 2025'!$E$12</f>
        <v>48.03</v>
      </c>
      <c r="R145" s="73" t="s">
        <v>537</v>
      </c>
      <c r="S145" s="613">
        <f>(O145+Q145)*M145</f>
        <v>10287.36</v>
      </c>
      <c r="T145" s="758">
        <v>10287.36</v>
      </c>
      <c r="U145" s="73" t="s">
        <v>667</v>
      </c>
    </row>
    <row r="146" spans="1:22" x14ac:dyDescent="0.25">
      <c r="A146" s="454" t="s">
        <v>669</v>
      </c>
      <c r="B146" s="73" t="s">
        <v>620</v>
      </c>
      <c r="C146" s="227">
        <f>$A$179</f>
        <v>0.83</v>
      </c>
      <c r="D146" s="114">
        <v>0.9</v>
      </c>
      <c r="E146" s="115">
        <v>0.95</v>
      </c>
      <c r="F146" s="228">
        <f>C146*D146*E146</f>
        <v>0.70965</v>
      </c>
      <c r="G146" s="230">
        <v>0.25</v>
      </c>
      <c r="H146" s="230" t="s">
        <v>608</v>
      </c>
      <c r="I146" s="85">
        <v>100</v>
      </c>
      <c r="J146" s="230" t="s">
        <v>657</v>
      </c>
      <c r="K146" s="73">
        <v>15000</v>
      </c>
      <c r="L146" s="233" t="s">
        <v>418</v>
      </c>
      <c r="M146" s="234">
        <f>K146/I146</f>
        <v>150</v>
      </c>
      <c r="N146" s="235" t="s">
        <v>446</v>
      </c>
      <c r="O146" s="236">
        <f>'Equipment Rates 2025'!$E$9</f>
        <v>166.29</v>
      </c>
      <c r="P146" s="237" t="s">
        <v>537</v>
      </c>
      <c r="Q146" s="164">
        <f>'Labor Rates 2025'!$E$12</f>
        <v>48.03</v>
      </c>
      <c r="R146" s="73" t="s">
        <v>537</v>
      </c>
      <c r="S146" s="613">
        <f>(O146+Q146)*M146</f>
        <v>32148</v>
      </c>
      <c r="T146" s="758">
        <v>32148</v>
      </c>
      <c r="U146" s="73" t="s">
        <v>670</v>
      </c>
    </row>
    <row r="147" spans="1:22" x14ac:dyDescent="0.25">
      <c r="A147" s="454"/>
      <c r="B147" s="73"/>
      <c r="C147" s="77"/>
      <c r="D147" s="114"/>
      <c r="E147" s="115"/>
      <c r="F147" s="228"/>
      <c r="G147" s="230"/>
      <c r="H147" s="230"/>
      <c r="I147" s="85"/>
      <c r="J147" s="230"/>
      <c r="K147" s="73"/>
      <c r="L147" s="233"/>
      <c r="M147" s="234"/>
      <c r="N147" s="235"/>
      <c r="O147" s="236"/>
      <c r="P147" s="237"/>
      <c r="Q147" s="238"/>
      <c r="R147" s="73"/>
      <c r="S147" s="613"/>
      <c r="T147" s="758"/>
    </row>
    <row r="148" spans="1:22" x14ac:dyDescent="0.25">
      <c r="A148" s="375" t="s">
        <v>671</v>
      </c>
      <c r="B148" s="79"/>
      <c r="C148" s="313"/>
      <c r="D148" s="116"/>
      <c r="E148" s="117"/>
      <c r="F148" s="314"/>
      <c r="G148" s="314"/>
      <c r="H148" s="314"/>
      <c r="I148" s="79"/>
      <c r="J148" s="79"/>
      <c r="K148" s="79"/>
      <c r="L148" s="79"/>
      <c r="M148" s="315"/>
      <c r="N148" s="316"/>
      <c r="O148" s="317"/>
      <c r="P148" s="79"/>
      <c r="Q148" s="318"/>
      <c r="R148" s="79"/>
      <c r="S148" s="314"/>
      <c r="T148" s="21"/>
    </row>
    <row r="149" spans="1:22" x14ac:dyDescent="0.25">
      <c r="A149" s="454" t="s">
        <v>1780</v>
      </c>
      <c r="I149" t="s">
        <v>2040</v>
      </c>
      <c r="K149" s="73">
        <f>(SUM($K$128:$K$141)+SUM($K$144:$K$146))*0.3</f>
        <v>32190</v>
      </c>
      <c r="L149" s="328" t="s">
        <v>418</v>
      </c>
      <c r="M149" s="93">
        <f>(K149*42.4*1.25)/27</f>
        <v>63187.777777777781</v>
      </c>
      <c r="N149" t="s">
        <v>1781</v>
      </c>
      <c r="O149" s="236">
        <v>52.65</v>
      </c>
      <c r="P149" s="35" t="s">
        <v>524</v>
      </c>
      <c r="S149" s="305">
        <f>M149*O149</f>
        <v>3326836.5</v>
      </c>
      <c r="T149" s="758">
        <v>3326836.5</v>
      </c>
      <c r="U149" t="s">
        <v>1782</v>
      </c>
    </row>
    <row r="150" spans="1:22" x14ac:dyDescent="0.25">
      <c r="A150" s="454" t="s">
        <v>1783</v>
      </c>
      <c r="I150" t="s">
        <v>2041</v>
      </c>
      <c r="K150" s="85">
        <f>$K$142/2</f>
        <v>17438.956066244238</v>
      </c>
      <c r="L150" s="328" t="s">
        <v>418</v>
      </c>
      <c r="M150" s="93">
        <f>(K150*10*1.25)/27</f>
        <v>8073.5907714093692</v>
      </c>
      <c r="N150" t="s">
        <v>1781</v>
      </c>
      <c r="O150" s="236">
        <v>52.65</v>
      </c>
      <c r="P150" s="35" t="s">
        <v>524</v>
      </c>
      <c r="S150" s="305">
        <f>M150*O150</f>
        <v>425074.55411470326</v>
      </c>
      <c r="T150" s="758">
        <v>593251.18872749328</v>
      </c>
      <c r="U150" t="s">
        <v>1782</v>
      </c>
    </row>
    <row r="151" spans="1:22" x14ac:dyDescent="0.25">
      <c r="A151" s="375" t="s">
        <v>674</v>
      </c>
      <c r="B151" s="79"/>
      <c r="C151" s="347"/>
      <c r="D151" s="118"/>
      <c r="E151" s="119"/>
      <c r="F151" s="348"/>
      <c r="G151" s="79"/>
      <c r="H151" s="79"/>
      <c r="I151" s="79"/>
      <c r="J151" s="79"/>
      <c r="K151" s="79"/>
      <c r="L151" s="79"/>
      <c r="M151" s="349"/>
      <c r="N151" s="350"/>
      <c r="O151" s="317"/>
      <c r="P151" s="79"/>
      <c r="Q151" s="318"/>
      <c r="R151" s="79"/>
      <c r="S151" s="79"/>
      <c r="T151" s="21"/>
      <c r="U151" s="38"/>
    </row>
    <row r="152" spans="1:22" x14ac:dyDescent="0.25">
      <c r="A152" s="454" t="s">
        <v>675</v>
      </c>
      <c r="B152" s="73" t="s">
        <v>2007</v>
      </c>
      <c r="C152" s="227"/>
      <c r="D152" s="114"/>
      <c r="E152" s="115"/>
      <c r="F152" s="236"/>
      <c r="G152" s="73"/>
      <c r="H152" s="230"/>
      <c r="I152" s="231"/>
      <c r="J152" s="230"/>
      <c r="K152" s="236" t="s">
        <v>398</v>
      </c>
      <c r="L152" s="233"/>
      <c r="M152" s="234"/>
      <c r="N152" s="235"/>
      <c r="O152" s="236"/>
      <c r="P152" s="237"/>
      <c r="Q152" s="238"/>
      <c r="R152" s="73"/>
      <c r="S152" s="613">
        <f t="shared" ref="S152" si="109">(O152+Q152)*M152</f>
        <v>0</v>
      </c>
      <c r="T152" s="758">
        <v>0</v>
      </c>
      <c r="U152" s="164" t="s">
        <v>399</v>
      </c>
    </row>
    <row r="153" spans="1:22" x14ac:dyDescent="0.25">
      <c r="A153" s="454" t="s">
        <v>676</v>
      </c>
      <c r="B153" s="73" t="s">
        <v>2007</v>
      </c>
      <c r="C153" s="227"/>
      <c r="D153" s="114"/>
      <c r="E153" s="115"/>
      <c r="F153" s="236"/>
      <c r="G153" s="73"/>
      <c r="H153" s="230"/>
      <c r="I153" s="231"/>
      <c r="J153" s="230"/>
      <c r="K153" s="236" t="s">
        <v>398</v>
      </c>
      <c r="L153" s="233"/>
      <c r="M153" s="234"/>
      <c r="N153" s="235"/>
      <c r="O153" s="236"/>
      <c r="P153" s="237"/>
      <c r="Q153" s="238"/>
      <c r="R153" s="73"/>
      <c r="S153" s="613">
        <f t="shared" ref="S153" si="110">(O153+Q153)*M153</f>
        <v>0</v>
      </c>
      <c r="T153" s="758">
        <v>0</v>
      </c>
      <c r="U153" s="164" t="s">
        <v>399</v>
      </c>
    </row>
    <row r="154" spans="1:22" x14ac:dyDescent="0.25">
      <c r="A154" s="73"/>
      <c r="B154" s="73"/>
      <c r="C154" s="77"/>
      <c r="D154" s="77"/>
      <c r="E154" s="77"/>
      <c r="F154" s="73"/>
      <c r="G154" s="73"/>
      <c r="H154" s="73"/>
      <c r="I154" s="73"/>
      <c r="J154" s="73"/>
      <c r="K154" s="73"/>
      <c r="L154" s="73"/>
      <c r="M154" s="73"/>
      <c r="N154" s="73"/>
      <c r="O154" s="73"/>
      <c r="P154" s="73"/>
      <c r="Q154" s="73"/>
      <c r="R154" s="73"/>
      <c r="S154" s="188"/>
      <c r="T154" s="21"/>
    </row>
    <row r="155" spans="1:22" x14ac:dyDescent="0.25">
      <c r="A155" s="375" t="s">
        <v>677</v>
      </c>
      <c r="B155" s="79"/>
      <c r="C155" s="313"/>
      <c r="D155" s="116"/>
      <c r="E155" s="117"/>
      <c r="F155" s="314"/>
      <c r="G155" s="314"/>
      <c r="H155" s="314"/>
      <c r="I155" s="79"/>
      <c r="J155" s="79"/>
      <c r="K155" s="79"/>
      <c r="L155" s="79"/>
      <c r="M155" s="315"/>
      <c r="N155" s="316"/>
      <c r="O155" s="317"/>
      <c r="P155" s="79"/>
      <c r="Q155" s="318"/>
      <c r="R155" s="79"/>
      <c r="S155" s="314"/>
      <c r="T155" s="21"/>
      <c r="U155" s="38"/>
    </row>
    <row r="156" spans="1:22" s="312" customFormat="1" x14ac:dyDescent="0.25">
      <c r="A156" s="454" t="s">
        <v>678</v>
      </c>
      <c r="B156" s="73" t="s">
        <v>398</v>
      </c>
      <c r="C156" s="227"/>
      <c r="D156" s="114"/>
      <c r="E156" s="115"/>
      <c r="F156" s="73"/>
      <c r="G156" s="229"/>
      <c r="H156" s="230"/>
      <c r="I156" s="85"/>
      <c r="J156" s="230"/>
      <c r="K156" s="232"/>
      <c r="L156" s="233"/>
      <c r="M156" s="234"/>
      <c r="N156" s="235"/>
      <c r="O156" s="236"/>
      <c r="P156" s="237"/>
      <c r="Q156" s="238"/>
      <c r="R156" s="73"/>
      <c r="S156" s="613">
        <f t="shared" ref="S156" si="111">(O156+Q156)*M156</f>
        <v>0</v>
      </c>
      <c r="T156" s="758">
        <v>0</v>
      </c>
      <c r="U156" s="164" t="s">
        <v>399</v>
      </c>
    </row>
    <row r="157" spans="1:22" s="312" customFormat="1" x14ac:dyDescent="0.25">
      <c r="A157" s="454" t="s">
        <v>679</v>
      </c>
      <c r="B157" s="73" t="s">
        <v>620</v>
      </c>
      <c r="C157" s="227">
        <f>$A$179</f>
        <v>0.83</v>
      </c>
      <c r="D157" s="114">
        <v>0.9</v>
      </c>
      <c r="E157" s="115">
        <v>0.95</v>
      </c>
      <c r="F157" s="228">
        <f>C157*D157*E157</f>
        <v>0.70965</v>
      </c>
      <c r="G157" s="230">
        <v>0.25</v>
      </c>
      <c r="H157" s="230" t="s">
        <v>608</v>
      </c>
      <c r="I157" s="231">
        <f>G157*F157</f>
        <v>0.1774125</v>
      </c>
      <c r="J157" s="230" t="s">
        <v>608</v>
      </c>
      <c r="K157" s="188">
        <v>0.5</v>
      </c>
      <c r="L157" s="233" t="s">
        <v>366</v>
      </c>
      <c r="M157" s="234">
        <f>K157/I157</f>
        <v>2.8182907066863945</v>
      </c>
      <c r="N157" s="235" t="s">
        <v>446</v>
      </c>
      <c r="O157" s="236">
        <f>'Equipment Rates 2025'!$E$9</f>
        <v>166.29</v>
      </c>
      <c r="P157" s="237" t="s">
        <v>537</v>
      </c>
      <c r="Q157" s="238">
        <f>'Labor Rates 2025'!$E$12+'Labor Rates 2025'!$H$12</f>
        <v>51.53</v>
      </c>
      <c r="R157" s="73" t="s">
        <v>537</v>
      </c>
      <c r="S157" s="613">
        <f>(O157+Q157)*M157</f>
        <v>613.88008173043045</v>
      </c>
      <c r="T157" s="758">
        <v>613.88008173043045</v>
      </c>
      <c r="V157" s="73"/>
    </row>
    <row r="158" spans="1:22" x14ac:dyDescent="0.25">
      <c r="A158" s="73"/>
      <c r="B158" s="73"/>
      <c r="C158" s="77"/>
      <c r="D158" s="77"/>
      <c r="E158" s="77"/>
      <c r="F158" s="73"/>
      <c r="G158" s="73"/>
      <c r="H158" s="73"/>
      <c r="I158" s="73"/>
      <c r="J158" s="73"/>
      <c r="K158" s="73"/>
      <c r="L158" s="73"/>
      <c r="M158" s="73"/>
      <c r="N158" s="73"/>
      <c r="O158" s="73"/>
      <c r="P158" s="73"/>
      <c r="Q158" s="73"/>
      <c r="R158" s="73"/>
      <c r="S158" s="73"/>
      <c r="T158" s="21"/>
    </row>
    <row r="159" spans="1:22" x14ac:dyDescent="0.25">
      <c r="A159" s="375" t="s">
        <v>680</v>
      </c>
      <c r="B159" s="79"/>
      <c r="C159" s="313"/>
      <c r="D159" s="116"/>
      <c r="E159" s="117"/>
      <c r="F159" s="314"/>
      <c r="G159" s="314"/>
      <c r="H159" s="314"/>
      <c r="I159" s="79"/>
      <c r="J159" s="79"/>
      <c r="K159" s="79"/>
      <c r="L159" s="79"/>
      <c r="M159" s="315"/>
      <c r="N159" s="316"/>
      <c r="O159" s="317"/>
      <c r="P159" s="79"/>
      <c r="Q159" s="318"/>
      <c r="R159" s="79"/>
      <c r="S159" s="314"/>
      <c r="T159" s="21"/>
      <c r="U159" s="38"/>
    </row>
    <row r="160" spans="1:22" x14ac:dyDescent="0.25">
      <c r="A160" s="454" t="s">
        <v>681</v>
      </c>
      <c r="B160" s="73" t="s">
        <v>1785</v>
      </c>
      <c r="C160" s="227"/>
      <c r="D160" s="114"/>
      <c r="E160" s="115"/>
      <c r="F160" s="228"/>
      <c r="G160" s="230"/>
      <c r="H160" s="230"/>
      <c r="I160" s="231"/>
      <c r="J160" s="230"/>
      <c r="K160" s="73">
        <v>840</v>
      </c>
      <c r="L160" s="328" t="s">
        <v>418</v>
      </c>
      <c r="M160" s="603"/>
      <c r="N160" s="235"/>
      <c r="O160" s="236">
        <v>45.01</v>
      </c>
      <c r="P160" s="237" t="s">
        <v>419</v>
      </c>
      <c r="Q160" s="238"/>
      <c r="R160" s="73"/>
      <c r="S160" s="613">
        <f>O160*K160</f>
        <v>37808.400000000001</v>
      </c>
      <c r="T160" s="758">
        <v>37808.400000000001</v>
      </c>
      <c r="U160" s="73" t="s">
        <v>1788</v>
      </c>
    </row>
    <row r="161" spans="1:21" x14ac:dyDescent="0.25">
      <c r="A161" s="454" t="s">
        <v>682</v>
      </c>
      <c r="B161" s="73" t="s">
        <v>1786</v>
      </c>
      <c r="C161" s="227"/>
      <c r="D161" s="114"/>
      <c r="E161" s="115"/>
      <c r="F161" s="228"/>
      <c r="G161" s="230"/>
      <c r="H161" s="230"/>
      <c r="I161" s="231"/>
      <c r="J161" s="230"/>
      <c r="K161" s="73">
        <v>5</v>
      </c>
      <c r="L161" s="328" t="s">
        <v>1789</v>
      </c>
      <c r="M161" s="603"/>
      <c r="N161" s="235"/>
      <c r="O161" s="236">
        <v>4597.97</v>
      </c>
      <c r="P161" s="237" t="s">
        <v>683</v>
      </c>
      <c r="Q161" s="238"/>
      <c r="R161" s="73"/>
      <c r="S161" s="613">
        <f>O161*K161</f>
        <v>22989.850000000002</v>
      </c>
      <c r="T161" s="758">
        <v>22989.850000000002</v>
      </c>
      <c r="U161" s="73" t="s">
        <v>1787</v>
      </c>
    </row>
    <row r="162" spans="1:21" x14ac:dyDescent="0.25">
      <c r="A162" s="454" t="s">
        <v>1790</v>
      </c>
      <c r="B162" s="73" t="s">
        <v>1858</v>
      </c>
      <c r="C162" t="s">
        <v>672</v>
      </c>
      <c r="K162" s="73">
        <f>((100)*27)/27</f>
        <v>100</v>
      </c>
      <c r="L162" t="s">
        <v>20</v>
      </c>
      <c r="O162" s="236">
        <v>52.65</v>
      </c>
      <c r="P162" t="s">
        <v>673</v>
      </c>
      <c r="S162" s="305">
        <f>K162*O162</f>
        <v>5265</v>
      </c>
      <c r="T162" s="758">
        <v>5265</v>
      </c>
      <c r="U162" t="s">
        <v>1782</v>
      </c>
    </row>
    <row r="163" spans="1:21" x14ac:dyDescent="0.25">
      <c r="A163" s="454" t="s">
        <v>684</v>
      </c>
      <c r="B163" s="73"/>
      <c r="C163" s="227"/>
      <c r="D163" s="114"/>
      <c r="E163" s="115"/>
      <c r="F163" s="228"/>
      <c r="G163" s="230"/>
      <c r="H163" s="230"/>
      <c r="I163" s="231"/>
      <c r="J163" s="230"/>
      <c r="K163" s="73">
        <v>100</v>
      </c>
      <c r="L163" s="328" t="s">
        <v>685</v>
      </c>
      <c r="M163" s="234"/>
      <c r="N163" s="235"/>
      <c r="O163" s="236">
        <v>6.02</v>
      </c>
      <c r="P163" s="237" t="s">
        <v>685</v>
      </c>
      <c r="Q163" s="238"/>
      <c r="R163" s="73"/>
      <c r="S163" s="613">
        <f>O163*K163</f>
        <v>602</v>
      </c>
      <c r="T163" s="758">
        <v>602</v>
      </c>
      <c r="U163" s="73" t="s">
        <v>1791</v>
      </c>
    </row>
    <row r="164" spans="1:21" x14ac:dyDescent="0.25">
      <c r="A164" s="454" t="s">
        <v>686</v>
      </c>
      <c r="B164" s="73"/>
      <c r="C164" s="77"/>
      <c r="D164" s="77"/>
      <c r="E164" s="77"/>
      <c r="F164" s="73"/>
      <c r="G164" s="73"/>
      <c r="H164" s="73"/>
      <c r="I164" s="73"/>
      <c r="J164" s="73"/>
      <c r="K164" s="73"/>
      <c r="L164" s="73"/>
      <c r="M164" s="73"/>
      <c r="N164" s="73"/>
      <c r="O164" s="73"/>
      <c r="P164" s="73"/>
      <c r="Q164" s="73"/>
      <c r="R164" s="73"/>
      <c r="S164" s="188"/>
      <c r="T164" s="21"/>
      <c r="U164" s="38"/>
    </row>
    <row r="165" spans="1:21" x14ac:dyDescent="0.25">
      <c r="A165" s="322" t="s">
        <v>687</v>
      </c>
      <c r="B165" s="73" t="s">
        <v>1792</v>
      </c>
      <c r="C165" s="227"/>
      <c r="D165" s="114"/>
      <c r="E165" s="115"/>
      <c r="F165" s="228"/>
      <c r="G165" s="230"/>
      <c r="H165" s="230"/>
      <c r="I165" s="231"/>
      <c r="J165" s="230"/>
      <c r="K165" s="73">
        <f>K160</f>
        <v>840</v>
      </c>
      <c r="L165" s="328" t="s">
        <v>418</v>
      </c>
      <c r="M165" s="604">
        <f>(K165*3*6)/27</f>
        <v>560</v>
      </c>
      <c r="N165" s="235" t="s">
        <v>1781</v>
      </c>
      <c r="O165" s="236">
        <f>6.93+3.21</f>
        <v>10.14</v>
      </c>
      <c r="P165" s="237" t="s">
        <v>524</v>
      </c>
      <c r="Q165" s="238"/>
      <c r="R165" s="73"/>
      <c r="S165" s="613">
        <f>O165*M165</f>
        <v>5678.4000000000005</v>
      </c>
      <c r="T165" s="758">
        <v>5678.4000000000005</v>
      </c>
      <c r="U165" s="73" t="s">
        <v>1794</v>
      </c>
    </row>
    <row r="166" spans="1:21" x14ac:dyDescent="0.25">
      <c r="A166" s="322" t="s">
        <v>688</v>
      </c>
      <c r="B166" s="73" t="s">
        <v>1793</v>
      </c>
      <c r="C166" s="227"/>
      <c r="D166" s="114"/>
      <c r="E166" s="115"/>
      <c r="F166" s="228"/>
      <c r="G166" s="230"/>
      <c r="H166" s="230"/>
      <c r="I166" s="231"/>
      <c r="J166" s="230"/>
      <c r="K166" s="73">
        <f>K161</f>
        <v>5</v>
      </c>
      <c r="L166" s="328" t="s">
        <v>1789</v>
      </c>
      <c r="M166" s="604">
        <f>(12*12*8)/27</f>
        <v>42.666666666666664</v>
      </c>
      <c r="N166" s="235" t="s">
        <v>1781</v>
      </c>
      <c r="O166" s="236">
        <f>9.26+3.21</f>
        <v>12.469999999999999</v>
      </c>
      <c r="P166" s="237" t="s">
        <v>524</v>
      </c>
      <c r="Q166" s="238"/>
      <c r="R166" s="73"/>
      <c r="S166" s="613">
        <f>O166*M166</f>
        <v>532.05333333333328</v>
      </c>
      <c r="T166" s="758">
        <v>532.05333333333328</v>
      </c>
      <c r="U166" s="73" t="s">
        <v>1795</v>
      </c>
    </row>
    <row r="167" spans="1:21" x14ac:dyDescent="0.25">
      <c r="A167" s="460"/>
      <c r="C167" s="106"/>
      <c r="D167" s="114"/>
      <c r="E167" s="115"/>
      <c r="F167" s="89"/>
      <c r="G167" s="100"/>
      <c r="H167" s="22"/>
      <c r="I167" s="11"/>
      <c r="J167" s="21"/>
      <c r="K167" s="232"/>
      <c r="L167" s="23"/>
      <c r="M167" s="60"/>
      <c r="N167" s="10"/>
      <c r="O167" s="164"/>
      <c r="P167" s="35"/>
      <c r="Q167" s="163"/>
      <c r="S167" s="63"/>
      <c r="T167" s="758"/>
      <c r="U167" s="38"/>
    </row>
    <row r="168" spans="1:21" x14ac:dyDescent="0.25">
      <c r="A168" s="50" t="s">
        <v>689</v>
      </c>
      <c r="B168" s="50"/>
      <c r="C168" s="61"/>
      <c r="D168" s="48"/>
      <c r="E168" s="54"/>
      <c r="F168" s="50"/>
      <c r="G168" s="50"/>
      <c r="H168" s="50"/>
      <c r="I168" s="49"/>
      <c r="J168" s="49"/>
      <c r="K168" s="49"/>
      <c r="L168" s="49"/>
      <c r="M168" s="62"/>
      <c r="N168" s="56"/>
      <c r="O168" s="49"/>
      <c r="P168" s="49"/>
      <c r="Q168" s="49"/>
      <c r="R168" s="49"/>
      <c r="S168" s="64">
        <f>SUM(S13:S150,S152:S166)</f>
        <v>38722618.94691021</v>
      </c>
      <c r="T168" s="705">
        <v>44482238.688367084</v>
      </c>
    </row>
    <row r="169" spans="1:21" x14ac:dyDescent="0.25">
      <c r="M169" s="3"/>
      <c r="N169" s="3"/>
      <c r="T169" s="21"/>
    </row>
    <row r="170" spans="1:21" x14ac:dyDescent="0.25">
      <c r="M170" s="3"/>
      <c r="N170" s="3"/>
      <c r="T170" s="21"/>
    </row>
    <row r="171" spans="1:21" x14ac:dyDescent="0.25">
      <c r="T171" s="21"/>
    </row>
    <row r="172" spans="1:21" x14ac:dyDescent="0.25">
      <c r="T172" s="21"/>
    </row>
    <row r="173" spans="1:21" ht="15.75" thickBot="1" x14ac:dyDescent="0.3">
      <c r="A173" s="3"/>
      <c r="B173" s="3"/>
      <c r="C173" s="2"/>
      <c r="D173" s="2"/>
      <c r="E173" s="2"/>
      <c r="F173" s="3"/>
      <c r="G173" s="3"/>
      <c r="H173" s="3"/>
      <c r="M173" s="3"/>
      <c r="N173" s="3"/>
      <c r="T173" s="21"/>
    </row>
    <row r="174" spans="1:21" x14ac:dyDescent="0.25">
      <c r="A174" s="955" t="s">
        <v>690</v>
      </c>
      <c r="B174" s="956"/>
      <c r="C174" s="957"/>
      <c r="D174" s="2"/>
      <c r="E174" s="947"/>
      <c r="F174" s="947"/>
      <c r="G174" s="947"/>
      <c r="H174" s="947"/>
      <c r="I174" s="947"/>
      <c r="J174" s="947"/>
      <c r="K174" s="947"/>
      <c r="L174" s="947"/>
      <c r="M174" s="947"/>
      <c r="N174" s="947"/>
      <c r="O174" s="947"/>
      <c r="P174" s="947"/>
    </row>
    <row r="175" spans="1:21" x14ac:dyDescent="0.25">
      <c r="A175" s="80"/>
      <c r="B175" s="3"/>
      <c r="C175" s="121"/>
      <c r="D175" s="2"/>
      <c r="E175" s="947"/>
      <c r="F175" s="947"/>
      <c r="G175" s="947"/>
      <c r="H175" s="947"/>
      <c r="I175" s="947"/>
      <c r="J175" s="947"/>
      <c r="K175" s="947"/>
      <c r="L175" s="947"/>
      <c r="M175" s="947"/>
      <c r="N175" s="947"/>
      <c r="O175" s="947"/>
      <c r="P175" s="947"/>
    </row>
    <row r="176" spans="1:21" x14ac:dyDescent="0.25">
      <c r="A176" s="80" t="s">
        <v>691</v>
      </c>
      <c r="B176" s="3"/>
      <c r="C176" s="121"/>
      <c r="D176" s="2"/>
      <c r="E176" s="947"/>
      <c r="F176" s="947"/>
      <c r="G176" s="947"/>
      <c r="H176" s="947"/>
      <c r="I176" s="947"/>
      <c r="J176" s="947"/>
      <c r="K176" s="947"/>
      <c r="L176" s="947"/>
      <c r="M176" s="947"/>
      <c r="N176" s="947"/>
      <c r="O176" s="947"/>
      <c r="P176" s="947"/>
    </row>
    <row r="177" spans="1:16" x14ac:dyDescent="0.25">
      <c r="A177" s="124" t="s">
        <v>692</v>
      </c>
      <c r="B177" s="125" t="s">
        <v>693</v>
      </c>
      <c r="C177" s="126" t="s">
        <v>694</v>
      </c>
      <c r="D177" s="2"/>
      <c r="E177" s="947"/>
      <c r="F177" s="947"/>
      <c r="G177" s="947"/>
      <c r="H177" s="947"/>
      <c r="I177" s="947"/>
      <c r="J177" s="947"/>
      <c r="K177" s="947"/>
      <c r="L177" s="947"/>
      <c r="M177" s="947"/>
      <c r="N177" s="947"/>
      <c r="O177" s="947"/>
      <c r="P177" s="947"/>
    </row>
    <row r="178" spans="1:16" x14ac:dyDescent="0.25">
      <c r="A178" s="127">
        <v>0.92</v>
      </c>
      <c r="B178" s="15">
        <v>0.83</v>
      </c>
      <c r="C178" s="128" t="s">
        <v>695</v>
      </c>
      <c r="D178" s="2"/>
      <c r="E178" s="947"/>
      <c r="F178" s="947"/>
      <c r="G178" s="947"/>
      <c r="H178" s="947"/>
      <c r="I178" s="947"/>
      <c r="J178" s="947"/>
      <c r="K178" s="947"/>
      <c r="L178" s="947"/>
      <c r="M178" s="947"/>
      <c r="N178" s="947"/>
      <c r="O178" s="947"/>
      <c r="P178" s="947"/>
    </row>
    <row r="179" spans="1:16" x14ac:dyDescent="0.25">
      <c r="A179" s="127">
        <v>0.83</v>
      </c>
      <c r="B179" s="15">
        <v>0.75</v>
      </c>
      <c r="C179" s="128" t="s">
        <v>696</v>
      </c>
      <c r="D179" s="2"/>
      <c r="E179" s="947"/>
      <c r="F179" s="947"/>
      <c r="G179" s="947"/>
      <c r="H179" s="947"/>
      <c r="I179" s="947"/>
      <c r="J179" s="947"/>
      <c r="K179" s="947"/>
      <c r="L179" s="947"/>
      <c r="M179" s="947"/>
      <c r="N179" s="947"/>
      <c r="O179" s="947"/>
      <c r="P179" s="947"/>
    </row>
    <row r="180" spans="1:16" x14ac:dyDescent="0.25">
      <c r="A180" s="127">
        <v>0.75</v>
      </c>
      <c r="B180" s="15">
        <v>0.67</v>
      </c>
      <c r="C180" s="128" t="s">
        <v>697</v>
      </c>
      <c r="D180" s="2"/>
      <c r="E180" s="947"/>
      <c r="F180" s="947"/>
      <c r="G180" s="947"/>
      <c r="H180" s="947"/>
      <c r="I180" s="947"/>
      <c r="J180" s="947"/>
      <c r="K180" s="947"/>
      <c r="L180" s="947"/>
      <c r="M180" s="947"/>
      <c r="N180" s="947"/>
      <c r="O180" s="947"/>
      <c r="P180" s="947"/>
    </row>
    <row r="181" spans="1:16" x14ac:dyDescent="0.25">
      <c r="A181" s="127"/>
      <c r="B181" s="15"/>
      <c r="C181" s="128"/>
      <c r="D181" s="2"/>
      <c r="E181" s="947"/>
      <c r="F181" s="947"/>
      <c r="G181" s="947"/>
      <c r="H181" s="947"/>
      <c r="I181" s="947"/>
      <c r="J181" s="947"/>
      <c r="K181" s="947"/>
      <c r="L181" s="947"/>
      <c r="M181" s="947"/>
      <c r="N181" s="947"/>
      <c r="O181" s="947"/>
      <c r="P181" s="947"/>
    </row>
    <row r="182" spans="1:16" x14ac:dyDescent="0.25">
      <c r="A182" s="80" t="s">
        <v>698</v>
      </c>
      <c r="B182">
        <v>0.25</v>
      </c>
      <c r="C182" s="111" t="s">
        <v>608</v>
      </c>
      <c r="D182" s="2"/>
      <c r="E182" s="947" t="s">
        <v>699</v>
      </c>
      <c r="F182" s="947"/>
      <c r="G182" s="947"/>
      <c r="H182" s="947"/>
      <c r="I182" s="947"/>
      <c r="J182" s="947"/>
      <c r="K182" s="947"/>
      <c r="L182" s="947"/>
      <c r="M182" s="947"/>
      <c r="N182" s="947"/>
      <c r="O182" s="947"/>
      <c r="P182" s="947"/>
    </row>
    <row r="183" spans="1:16" ht="15.75" thickBot="1" x14ac:dyDescent="0.3">
      <c r="A183" s="123"/>
      <c r="B183" s="129"/>
      <c r="C183" s="130"/>
      <c r="D183" s="2"/>
      <c r="E183" s="947"/>
      <c r="F183" s="947"/>
      <c r="G183" s="947"/>
      <c r="H183" s="947"/>
      <c r="I183" s="947"/>
      <c r="J183" s="947"/>
      <c r="K183" s="947"/>
      <c r="L183" s="947"/>
      <c r="M183" s="947"/>
      <c r="N183" s="947"/>
      <c r="O183" s="947"/>
      <c r="P183" s="947"/>
    </row>
    <row r="184" spans="1:16" x14ac:dyDescent="0.25">
      <c r="B184" s="81"/>
      <c r="C184" s="82"/>
      <c r="E184" s="947"/>
      <c r="F184" s="947"/>
      <c r="G184" s="947"/>
      <c r="H184" s="947"/>
      <c r="I184" s="947"/>
      <c r="J184" s="947"/>
      <c r="K184" s="947"/>
      <c r="L184" s="947"/>
      <c r="M184" s="947"/>
      <c r="N184" s="947"/>
      <c r="O184" s="947"/>
      <c r="P184" s="947"/>
    </row>
    <row r="185" spans="1:16" s="89" customFormat="1" x14ac:dyDescent="0.25">
      <c r="E185" s="947"/>
      <c r="F185" s="947"/>
      <c r="G185" s="947"/>
      <c r="H185" s="947"/>
      <c r="I185" s="947"/>
      <c r="J185" s="947"/>
      <c r="K185" s="947"/>
      <c r="L185" s="947"/>
      <c r="M185" s="947"/>
      <c r="N185" s="947"/>
      <c r="O185" s="947"/>
      <c r="P185" s="947"/>
    </row>
    <row r="186" spans="1:16" x14ac:dyDescent="0.25">
      <c r="A186" s="949" t="s">
        <v>700</v>
      </c>
      <c r="B186" s="950"/>
      <c r="C186" s="951"/>
      <c r="E186" s="947" t="s">
        <v>701</v>
      </c>
      <c r="F186" s="947"/>
      <c r="G186" s="947"/>
      <c r="H186" s="947"/>
      <c r="I186" s="947"/>
      <c r="J186" s="947"/>
      <c r="K186" s="947"/>
      <c r="L186" s="947"/>
      <c r="M186" s="947"/>
      <c r="N186" s="947"/>
      <c r="O186" s="947"/>
      <c r="P186" s="947"/>
    </row>
    <row r="187" spans="1:16" x14ac:dyDescent="0.25">
      <c r="A187" s="83"/>
      <c r="C187" s="84"/>
      <c r="E187" s="952"/>
      <c r="F187" s="952"/>
      <c r="G187" s="952"/>
      <c r="H187" s="952"/>
      <c r="I187" s="952"/>
      <c r="J187" s="952"/>
      <c r="K187" s="952"/>
      <c r="L187" s="952"/>
      <c r="M187" s="952"/>
      <c r="N187" s="952"/>
      <c r="O187" s="952"/>
      <c r="P187" s="952"/>
    </row>
    <row r="188" spans="1:16" x14ac:dyDescent="0.25">
      <c r="A188" s="86" t="s">
        <v>702</v>
      </c>
      <c r="C188" s="84"/>
      <c r="E188" s="947"/>
      <c r="F188" s="947"/>
      <c r="G188" s="947"/>
      <c r="H188" s="947"/>
      <c r="I188" s="947"/>
      <c r="J188" s="947"/>
      <c r="K188" s="947"/>
      <c r="L188" s="947"/>
      <c r="M188" s="947"/>
      <c r="N188" s="947"/>
      <c r="O188" s="947"/>
      <c r="P188" s="947"/>
    </row>
    <row r="189" spans="1:16" x14ac:dyDescent="0.25">
      <c r="A189" s="87" t="s">
        <v>703</v>
      </c>
      <c r="B189">
        <v>450</v>
      </c>
      <c r="C189" s="84" t="s">
        <v>614</v>
      </c>
      <c r="E189" s="947" t="s">
        <v>704</v>
      </c>
      <c r="F189" s="947"/>
      <c r="G189" s="947"/>
      <c r="H189" s="947"/>
      <c r="I189" s="947"/>
      <c r="J189" s="947"/>
      <c r="K189" s="947"/>
      <c r="L189" s="947"/>
      <c r="M189" s="947"/>
      <c r="N189" s="947"/>
      <c r="O189" s="947"/>
      <c r="P189" s="947"/>
    </row>
    <row r="190" spans="1:16" x14ac:dyDescent="0.25">
      <c r="A190" s="87" t="s">
        <v>705</v>
      </c>
      <c r="B190" s="93">
        <f>(43560*2)/27</f>
        <v>3226.6666666666665</v>
      </c>
      <c r="C190" s="84" t="s">
        <v>706</v>
      </c>
      <c r="E190" s="167"/>
      <c r="F190" s="167"/>
      <c r="G190" s="167"/>
      <c r="H190" s="167"/>
      <c r="I190" s="167"/>
      <c r="J190" s="167"/>
      <c r="K190" s="167"/>
      <c r="L190" s="167"/>
      <c r="M190" s="167"/>
      <c r="N190" s="167"/>
      <c r="O190" s="167"/>
      <c r="P190" s="167"/>
    </row>
    <row r="191" spans="1:16" x14ac:dyDescent="0.25">
      <c r="A191" s="109" t="s">
        <v>707</v>
      </c>
      <c r="B191" s="432">
        <f>B189/B190</f>
        <v>0.13946280991735538</v>
      </c>
      <c r="C191" s="110" t="s">
        <v>608</v>
      </c>
      <c r="E191" s="167"/>
      <c r="F191" s="167"/>
      <c r="G191" s="167"/>
      <c r="H191" s="167"/>
      <c r="I191" s="167"/>
      <c r="J191" s="167"/>
      <c r="K191" s="167"/>
      <c r="L191" s="167"/>
      <c r="M191" s="167"/>
      <c r="N191" s="167"/>
      <c r="O191" s="167"/>
      <c r="P191" s="167"/>
    </row>
    <row r="192" spans="1:16" x14ac:dyDescent="0.25">
      <c r="A192" s="87"/>
      <c r="C192" s="84"/>
      <c r="E192" s="167"/>
      <c r="F192" s="167"/>
      <c r="G192" s="167"/>
      <c r="H192" s="167"/>
      <c r="I192" s="167"/>
      <c r="J192" s="167"/>
      <c r="K192" s="167"/>
      <c r="L192" s="167"/>
      <c r="M192" s="167"/>
      <c r="N192" s="167"/>
      <c r="O192" s="167"/>
      <c r="P192" s="167"/>
    </row>
    <row r="193" spans="1:16" x14ac:dyDescent="0.25">
      <c r="A193" s="86" t="s">
        <v>708</v>
      </c>
      <c r="C193" s="84"/>
      <c r="E193" s="167"/>
      <c r="F193" s="167"/>
      <c r="G193" s="167"/>
      <c r="H193" s="167"/>
      <c r="I193" s="167"/>
      <c r="J193" s="167"/>
      <c r="K193" s="167"/>
      <c r="L193" s="167"/>
      <c r="M193" s="167"/>
      <c r="N193" s="167"/>
      <c r="O193" s="167"/>
      <c r="P193" s="167"/>
    </row>
    <row r="194" spans="1:16" x14ac:dyDescent="0.25">
      <c r="A194" s="87" t="s">
        <v>709</v>
      </c>
      <c r="B194">
        <f>2.1</f>
        <v>2.1</v>
      </c>
      <c r="C194" s="84" t="s">
        <v>710</v>
      </c>
      <c r="E194" s="167"/>
      <c r="F194" s="167"/>
      <c r="G194" s="167"/>
      <c r="H194" s="167"/>
      <c r="I194" s="167"/>
      <c r="J194" s="167"/>
      <c r="K194" s="167"/>
      <c r="L194" s="167"/>
      <c r="M194" s="167"/>
      <c r="N194" s="167"/>
      <c r="O194" s="167"/>
      <c r="P194" s="167"/>
    </row>
    <row r="195" spans="1:16" x14ac:dyDescent="0.25">
      <c r="A195" s="87" t="s">
        <v>711</v>
      </c>
      <c r="B195" s="89">
        <f>10+(8/12)</f>
        <v>10.666666666666666</v>
      </c>
      <c r="C195" s="88" t="s">
        <v>581</v>
      </c>
      <c r="E195" s="947" t="s">
        <v>712</v>
      </c>
      <c r="F195" s="947"/>
      <c r="G195" s="947"/>
      <c r="H195" s="947"/>
      <c r="I195" s="947"/>
      <c r="J195" s="947"/>
      <c r="K195" s="947"/>
      <c r="L195" s="947"/>
      <c r="M195" s="947"/>
      <c r="N195" s="947"/>
      <c r="O195" s="947"/>
      <c r="P195" s="947"/>
    </row>
    <row r="196" spans="1:16" x14ac:dyDescent="0.25">
      <c r="A196" s="434" t="s">
        <v>713</v>
      </c>
      <c r="B196" s="21">
        <v>2</v>
      </c>
      <c r="C196" s="88" t="s">
        <v>581</v>
      </c>
      <c r="E196" s="167"/>
      <c r="F196" s="167"/>
      <c r="G196" s="167"/>
      <c r="H196" s="167"/>
      <c r="I196" s="167"/>
      <c r="J196" s="167"/>
      <c r="K196" s="167"/>
      <c r="L196" s="167"/>
      <c r="M196" s="167"/>
      <c r="N196" s="167"/>
      <c r="O196" s="167"/>
      <c r="P196" s="167"/>
    </row>
    <row r="197" spans="1:16" x14ac:dyDescent="0.25">
      <c r="A197" s="109" t="s">
        <v>707</v>
      </c>
      <c r="B197" s="432">
        <f>((B194*5280)*(B195-B196))/43560</f>
        <v>2.2060606060606061</v>
      </c>
      <c r="C197" s="433" t="s">
        <v>608</v>
      </c>
      <c r="E197" s="947"/>
      <c r="F197" s="947"/>
      <c r="G197" s="947"/>
      <c r="H197" s="947"/>
      <c r="I197" s="947"/>
      <c r="J197" s="947"/>
      <c r="K197" s="947"/>
      <c r="L197" s="947"/>
      <c r="M197" s="947"/>
      <c r="N197" s="947"/>
      <c r="O197" s="947"/>
      <c r="P197" s="947"/>
    </row>
    <row r="198" spans="1:16" x14ac:dyDescent="0.25">
      <c r="A198" s="455"/>
      <c r="B198" s="76"/>
      <c r="C198" s="88"/>
      <c r="E198" s="947"/>
      <c r="F198" s="947"/>
      <c r="G198" s="947"/>
      <c r="H198" s="947"/>
      <c r="I198" s="947"/>
      <c r="J198" s="947"/>
      <c r="K198" s="947"/>
      <c r="L198" s="947"/>
      <c r="M198" s="947"/>
      <c r="N198" s="947"/>
      <c r="O198" s="947"/>
      <c r="P198" s="947"/>
    </row>
    <row r="199" spans="1:16" x14ac:dyDescent="0.25">
      <c r="A199" s="86" t="s">
        <v>714</v>
      </c>
      <c r="B199" s="76"/>
      <c r="C199" s="88"/>
      <c r="E199" s="167"/>
      <c r="F199" s="167"/>
      <c r="G199" s="167"/>
      <c r="H199" s="167"/>
      <c r="I199" s="167"/>
      <c r="J199" s="167"/>
      <c r="K199" s="167"/>
      <c r="L199" s="167"/>
      <c r="M199" s="167"/>
      <c r="N199" s="167"/>
      <c r="O199" s="167"/>
      <c r="P199" s="167"/>
    </row>
    <row r="200" spans="1:16" x14ac:dyDescent="0.25">
      <c r="A200" s="455" t="s">
        <v>715</v>
      </c>
      <c r="B200">
        <v>1</v>
      </c>
      <c r="C200" s="84" t="s">
        <v>710</v>
      </c>
      <c r="E200" s="167"/>
      <c r="F200" s="167"/>
      <c r="G200" s="167"/>
      <c r="H200" s="167"/>
      <c r="I200" s="167"/>
      <c r="J200" s="167"/>
      <c r="K200" s="167"/>
      <c r="L200" s="167"/>
      <c r="M200" s="167"/>
      <c r="N200" s="167"/>
      <c r="O200" s="167"/>
      <c r="P200" s="167"/>
    </row>
    <row r="201" spans="1:16" x14ac:dyDescent="0.25">
      <c r="A201" s="434" t="s">
        <v>716</v>
      </c>
      <c r="B201" s="89">
        <f>7+(3/12)</f>
        <v>7.25</v>
      </c>
      <c r="C201" s="88" t="s">
        <v>581</v>
      </c>
      <c r="E201" s="947" t="s">
        <v>717</v>
      </c>
      <c r="F201" s="947"/>
      <c r="G201" s="947"/>
      <c r="H201" s="947"/>
      <c r="I201" s="947"/>
      <c r="J201" s="947"/>
      <c r="K201" s="947"/>
      <c r="L201" s="947"/>
      <c r="M201" s="947"/>
      <c r="N201" s="947"/>
      <c r="O201" s="947"/>
      <c r="P201" s="947"/>
    </row>
    <row r="202" spans="1:16" x14ac:dyDescent="0.25">
      <c r="A202" s="434" t="s">
        <v>718</v>
      </c>
      <c r="B202" s="435">
        <f>43560/B201</f>
        <v>6008.2758620689656</v>
      </c>
      <c r="C202" s="88" t="s">
        <v>581</v>
      </c>
      <c r="E202" s="167"/>
      <c r="F202" s="167"/>
      <c r="G202" s="167"/>
      <c r="H202" s="167"/>
      <c r="I202" s="167"/>
      <c r="J202" s="167"/>
      <c r="K202" s="167"/>
      <c r="L202" s="167"/>
      <c r="M202" s="167"/>
      <c r="N202" s="167"/>
      <c r="O202" s="167"/>
      <c r="P202" s="167"/>
    </row>
    <row r="203" spans="1:16" x14ac:dyDescent="0.25">
      <c r="A203" s="434" t="s">
        <v>719</v>
      </c>
      <c r="B203" s="89">
        <f>B202/(B200*5280)</f>
        <v>1.1379310344827587</v>
      </c>
      <c r="C203" s="88" t="s">
        <v>446</v>
      </c>
      <c r="E203" s="947"/>
      <c r="F203" s="947"/>
      <c r="G203" s="947"/>
      <c r="H203" s="947"/>
      <c r="I203" s="947"/>
      <c r="J203" s="947"/>
      <c r="K203" s="947"/>
      <c r="L203" s="947"/>
      <c r="M203" s="947"/>
      <c r="N203" s="947"/>
      <c r="O203" s="947"/>
      <c r="P203" s="947"/>
    </row>
    <row r="204" spans="1:16" x14ac:dyDescent="0.25">
      <c r="A204" s="87" t="s">
        <v>720</v>
      </c>
      <c r="B204">
        <v>3</v>
      </c>
      <c r="C204" s="88" t="s">
        <v>581</v>
      </c>
      <c r="E204" s="947"/>
      <c r="F204" s="947"/>
      <c r="G204" s="947"/>
      <c r="H204" s="947"/>
      <c r="I204" s="947"/>
      <c r="J204" s="947"/>
      <c r="K204" s="947"/>
      <c r="L204" s="947"/>
      <c r="M204" s="947"/>
      <c r="N204" s="947"/>
      <c r="O204" s="947"/>
      <c r="P204" s="947"/>
    </row>
    <row r="205" spans="1:16" x14ac:dyDescent="0.25">
      <c r="A205" s="87" t="s">
        <v>721</v>
      </c>
      <c r="B205" s="93">
        <f>(B202*B204*B201)/27</f>
        <v>4840.0000000000009</v>
      </c>
      <c r="C205" s="88" t="s">
        <v>722</v>
      </c>
      <c r="E205" s="947"/>
      <c r="F205" s="947"/>
      <c r="G205" s="947"/>
      <c r="H205" s="947"/>
      <c r="I205" s="947"/>
      <c r="J205" s="947"/>
      <c r="K205" s="947"/>
      <c r="L205" s="947"/>
      <c r="M205" s="947"/>
      <c r="N205" s="947"/>
      <c r="O205" s="947"/>
      <c r="P205" s="947"/>
    </row>
    <row r="206" spans="1:16" x14ac:dyDescent="0.25">
      <c r="A206" s="109" t="s">
        <v>723</v>
      </c>
      <c r="B206" s="436">
        <f>1/B203</f>
        <v>0.87878787878787878</v>
      </c>
      <c r="C206" s="110" t="s">
        <v>608</v>
      </c>
      <c r="E206" s="167"/>
      <c r="F206" s="167"/>
      <c r="G206" s="167"/>
      <c r="H206" s="167"/>
      <c r="I206" s="167"/>
      <c r="J206" s="167"/>
      <c r="K206" s="167"/>
      <c r="L206" s="167"/>
      <c r="M206" s="167"/>
      <c r="N206" s="167"/>
      <c r="O206" s="167"/>
      <c r="P206" s="167"/>
    </row>
    <row r="207" spans="1:16" x14ac:dyDescent="0.25">
      <c r="A207" s="455"/>
      <c r="B207" s="76"/>
      <c r="C207" s="88"/>
      <c r="E207" s="167"/>
      <c r="F207" s="167"/>
      <c r="G207" s="167"/>
      <c r="H207" s="167"/>
      <c r="I207" s="167"/>
      <c r="J207" s="167"/>
      <c r="K207" s="167"/>
      <c r="L207" s="167"/>
      <c r="M207" s="167"/>
      <c r="N207" s="167"/>
      <c r="O207" s="167"/>
      <c r="P207" s="167"/>
    </row>
    <row r="208" spans="1:16" ht="15.75" thickBot="1" x14ac:dyDescent="0.3">
      <c r="A208" s="95"/>
      <c r="B208" s="99"/>
      <c r="C208" s="96"/>
      <c r="D208" s="430"/>
      <c r="E208" s="947"/>
      <c r="F208" s="947"/>
      <c r="G208" s="947"/>
      <c r="H208" s="947"/>
      <c r="I208" s="947"/>
      <c r="J208" s="947"/>
      <c r="K208" s="947"/>
      <c r="L208" s="947"/>
      <c r="M208" s="947"/>
      <c r="N208" s="947"/>
      <c r="O208" s="947"/>
      <c r="P208" s="947"/>
    </row>
    <row r="209" spans="1:16" x14ac:dyDescent="0.25">
      <c r="E209" s="947"/>
      <c r="F209" s="947"/>
      <c r="G209" s="947"/>
      <c r="H209" s="947"/>
      <c r="I209" s="947"/>
      <c r="J209" s="947"/>
      <c r="K209" s="947"/>
      <c r="L209" s="947"/>
      <c r="M209" s="947"/>
      <c r="N209" s="947"/>
      <c r="O209" s="947"/>
      <c r="P209" s="947"/>
    </row>
    <row r="210" spans="1:16" s="89" customFormat="1" ht="15.75" thickBot="1" x14ac:dyDescent="0.3">
      <c r="E210" s="947"/>
      <c r="F210" s="947"/>
      <c r="G210" s="947"/>
      <c r="H210" s="947"/>
      <c r="I210" s="947"/>
      <c r="J210" s="947"/>
      <c r="K210" s="947"/>
      <c r="L210" s="947"/>
      <c r="M210" s="947"/>
      <c r="N210" s="947"/>
      <c r="O210" s="947"/>
      <c r="P210" s="947"/>
    </row>
    <row r="211" spans="1:16" x14ac:dyDescent="0.25">
      <c r="A211" s="949" t="s">
        <v>724</v>
      </c>
      <c r="B211" s="950"/>
      <c r="C211" s="951"/>
      <c r="E211" s="947" t="s">
        <v>701</v>
      </c>
      <c r="F211" s="947"/>
      <c r="G211" s="947"/>
      <c r="H211" s="947"/>
      <c r="I211" s="947"/>
      <c r="J211" s="947"/>
      <c r="K211" s="947"/>
      <c r="L211" s="947"/>
      <c r="M211" s="947"/>
      <c r="N211" s="947"/>
      <c r="O211" s="947"/>
      <c r="P211" s="947"/>
    </row>
    <row r="212" spans="1:16" x14ac:dyDescent="0.25">
      <c r="A212" s="83"/>
      <c r="C212" s="84"/>
      <c r="E212" s="952"/>
      <c r="F212" s="952"/>
      <c r="G212" s="952"/>
      <c r="H212" s="952"/>
      <c r="I212" s="952"/>
      <c r="J212" s="952"/>
      <c r="K212" s="952"/>
      <c r="L212" s="952"/>
      <c r="M212" s="952"/>
      <c r="N212" s="952"/>
      <c r="O212" s="952"/>
      <c r="P212" s="952"/>
    </row>
    <row r="213" spans="1:16" x14ac:dyDescent="0.25">
      <c r="A213" s="86" t="s">
        <v>702</v>
      </c>
      <c r="C213" s="84"/>
      <c r="E213" s="947"/>
      <c r="F213" s="947"/>
      <c r="G213" s="947"/>
      <c r="H213" s="947"/>
      <c r="I213" s="947"/>
      <c r="J213" s="947"/>
      <c r="K213" s="947"/>
      <c r="L213" s="947"/>
      <c r="M213" s="947"/>
      <c r="N213" s="947"/>
      <c r="O213" s="947"/>
      <c r="P213" s="947"/>
    </row>
    <row r="214" spans="1:16" x14ac:dyDescent="0.25">
      <c r="A214" s="87" t="s">
        <v>703</v>
      </c>
      <c r="B214">
        <v>800</v>
      </c>
      <c r="C214" s="84" t="s">
        <v>614</v>
      </c>
      <c r="E214" s="947" t="s">
        <v>725</v>
      </c>
      <c r="F214" s="947"/>
      <c r="G214" s="947"/>
      <c r="H214" s="947"/>
      <c r="I214" s="947"/>
      <c r="J214" s="947"/>
      <c r="K214" s="947"/>
      <c r="L214" s="947"/>
      <c r="M214" s="947"/>
      <c r="N214" s="947"/>
      <c r="O214" s="947"/>
      <c r="P214" s="947"/>
    </row>
    <row r="215" spans="1:16" x14ac:dyDescent="0.25">
      <c r="A215" s="87" t="s">
        <v>705</v>
      </c>
      <c r="B215" s="93">
        <f>(43560*2)/27</f>
        <v>3226.6666666666665</v>
      </c>
      <c r="C215" s="84" t="s">
        <v>706</v>
      </c>
      <c r="E215" s="167"/>
      <c r="F215" s="167"/>
      <c r="G215" s="167"/>
      <c r="H215" s="167"/>
      <c r="I215" s="167"/>
      <c r="J215" s="167"/>
      <c r="K215" s="167"/>
      <c r="L215" s="167"/>
      <c r="M215" s="167"/>
      <c r="N215" s="167"/>
      <c r="O215" s="167"/>
      <c r="P215" s="167"/>
    </row>
    <row r="216" spans="1:16" x14ac:dyDescent="0.25">
      <c r="A216" s="109" t="s">
        <v>707</v>
      </c>
      <c r="B216" s="432">
        <f>B214/B215</f>
        <v>0.24793388429752067</v>
      </c>
      <c r="C216" s="110" t="s">
        <v>608</v>
      </c>
      <c r="E216" s="167"/>
      <c r="F216" s="167"/>
      <c r="G216" s="167"/>
      <c r="H216" s="167"/>
      <c r="I216" s="167"/>
      <c r="J216" s="167"/>
      <c r="K216" s="167"/>
      <c r="L216" s="167"/>
      <c r="M216" s="167"/>
      <c r="N216" s="167"/>
      <c r="O216" s="167"/>
      <c r="P216" s="167"/>
    </row>
    <row r="217" spans="1:16" x14ac:dyDescent="0.25">
      <c r="A217" s="91"/>
      <c r="B217" s="432"/>
      <c r="C217" s="110"/>
      <c r="E217" s="167"/>
      <c r="F217" s="167"/>
      <c r="G217" s="167"/>
      <c r="H217" s="167"/>
      <c r="I217" s="167"/>
      <c r="J217" s="167"/>
      <c r="K217" s="167"/>
      <c r="L217" s="167"/>
      <c r="M217" s="167"/>
      <c r="N217" s="167"/>
      <c r="O217" s="167"/>
      <c r="P217" s="167"/>
    </row>
    <row r="218" spans="1:16" x14ac:dyDescent="0.25">
      <c r="A218" s="439" t="s">
        <v>726</v>
      </c>
      <c r="B218">
        <v>250</v>
      </c>
      <c r="C218" s="84" t="s">
        <v>614</v>
      </c>
      <c r="E218" s="947" t="s">
        <v>725</v>
      </c>
      <c r="F218" s="947"/>
      <c r="G218" s="947"/>
      <c r="H218" s="947"/>
      <c r="I218" s="947"/>
      <c r="J218" s="947"/>
      <c r="K218" s="947"/>
      <c r="L218" s="947"/>
      <c r="M218" s="947"/>
      <c r="N218" s="947"/>
      <c r="O218" s="947"/>
      <c r="P218" s="947"/>
    </row>
    <row r="219" spans="1:16" x14ac:dyDescent="0.25">
      <c r="A219" s="87"/>
      <c r="C219" s="84"/>
      <c r="E219" s="167"/>
      <c r="F219" s="167"/>
      <c r="G219" s="167"/>
      <c r="H219" s="167"/>
      <c r="I219" s="167"/>
      <c r="J219" s="167"/>
      <c r="K219" s="167"/>
      <c r="L219" s="167"/>
      <c r="M219" s="167"/>
      <c r="N219" s="167"/>
      <c r="O219" s="167"/>
      <c r="P219" s="167"/>
    </row>
    <row r="220" spans="1:16" x14ac:dyDescent="0.25">
      <c r="A220" s="86" t="s">
        <v>708</v>
      </c>
      <c r="C220" s="84"/>
      <c r="E220" s="167"/>
      <c r="F220" s="167"/>
      <c r="G220" s="167"/>
      <c r="H220" s="167"/>
      <c r="I220" s="167"/>
      <c r="J220" s="167"/>
      <c r="K220" s="167"/>
      <c r="L220" s="167"/>
      <c r="M220" s="167"/>
      <c r="N220" s="167"/>
      <c r="O220" s="167"/>
      <c r="P220" s="167"/>
    </row>
    <row r="221" spans="1:16" x14ac:dyDescent="0.25">
      <c r="A221" s="87" t="s">
        <v>709</v>
      </c>
      <c r="B221">
        <f>2.1</f>
        <v>2.1</v>
      </c>
      <c r="C221" s="84" t="s">
        <v>710</v>
      </c>
      <c r="E221" s="167"/>
      <c r="F221" s="167"/>
      <c r="G221" s="167"/>
      <c r="H221" s="167"/>
      <c r="I221" s="167"/>
      <c r="J221" s="167"/>
      <c r="K221" s="167"/>
      <c r="L221" s="167"/>
      <c r="M221" s="167"/>
      <c r="N221" s="167"/>
      <c r="O221" s="167"/>
      <c r="P221" s="167"/>
    </row>
    <row r="222" spans="1:16" x14ac:dyDescent="0.25">
      <c r="A222" s="87" t="s">
        <v>711</v>
      </c>
      <c r="B222" s="89">
        <f>12+(11/12)</f>
        <v>12.916666666666666</v>
      </c>
      <c r="C222" s="88" t="s">
        <v>581</v>
      </c>
      <c r="E222" s="947" t="s">
        <v>727</v>
      </c>
      <c r="F222" s="947"/>
      <c r="G222" s="947"/>
      <c r="H222" s="947"/>
      <c r="I222" s="947"/>
      <c r="J222" s="947"/>
      <c r="K222" s="947"/>
      <c r="L222" s="947"/>
      <c r="M222" s="947"/>
      <c r="N222" s="947"/>
      <c r="O222" s="947"/>
      <c r="P222" s="947"/>
    </row>
    <row r="223" spans="1:16" x14ac:dyDescent="0.25">
      <c r="A223" s="434" t="s">
        <v>713</v>
      </c>
      <c r="B223" s="21">
        <v>2</v>
      </c>
      <c r="C223" s="88" t="s">
        <v>581</v>
      </c>
      <c r="E223" s="167"/>
      <c r="F223" s="167"/>
      <c r="G223" s="167"/>
      <c r="H223" s="167"/>
      <c r="I223" s="167"/>
      <c r="J223" s="167"/>
      <c r="K223" s="167"/>
      <c r="L223" s="167"/>
      <c r="M223" s="167"/>
      <c r="N223" s="167"/>
      <c r="O223" s="167"/>
      <c r="P223" s="167"/>
    </row>
    <row r="224" spans="1:16" x14ac:dyDescent="0.25">
      <c r="A224" s="109" t="s">
        <v>707</v>
      </c>
      <c r="B224" s="432">
        <f>((B221*5280)*(B222-B223))/43560</f>
        <v>2.7787878787878788</v>
      </c>
      <c r="C224" s="433" t="s">
        <v>608</v>
      </c>
      <c r="E224" s="947"/>
      <c r="F224" s="947"/>
      <c r="G224" s="947"/>
      <c r="H224" s="947"/>
      <c r="I224" s="947"/>
      <c r="J224" s="947"/>
      <c r="K224" s="947"/>
      <c r="L224" s="947"/>
      <c r="M224" s="947"/>
      <c r="N224" s="947"/>
      <c r="O224" s="947"/>
      <c r="P224" s="947"/>
    </row>
    <row r="225" spans="1:16" x14ac:dyDescent="0.25">
      <c r="A225" s="455"/>
      <c r="B225" s="76"/>
      <c r="C225" s="88"/>
      <c r="E225" s="947"/>
      <c r="F225" s="947"/>
      <c r="G225" s="947"/>
      <c r="H225" s="947"/>
      <c r="I225" s="947"/>
      <c r="J225" s="947"/>
      <c r="K225" s="947"/>
      <c r="L225" s="947"/>
      <c r="M225" s="947"/>
      <c r="N225" s="947"/>
      <c r="O225" s="947"/>
      <c r="P225" s="947"/>
    </row>
    <row r="226" spans="1:16" x14ac:dyDescent="0.25">
      <c r="A226" s="86" t="s">
        <v>714</v>
      </c>
      <c r="B226" s="76"/>
      <c r="C226" s="88"/>
      <c r="E226" s="167"/>
      <c r="F226" s="167"/>
      <c r="G226" s="167"/>
      <c r="H226" s="167"/>
      <c r="I226" s="167"/>
      <c r="J226" s="167"/>
      <c r="K226" s="167"/>
      <c r="L226" s="167"/>
      <c r="M226" s="167"/>
      <c r="N226" s="167"/>
      <c r="O226" s="167"/>
      <c r="P226" s="167"/>
    </row>
    <row r="227" spans="1:16" x14ac:dyDescent="0.25">
      <c r="A227" s="455" t="s">
        <v>715</v>
      </c>
      <c r="B227">
        <v>0.75</v>
      </c>
      <c r="C227" s="84" t="s">
        <v>710</v>
      </c>
      <c r="E227" s="167"/>
      <c r="F227" s="167"/>
      <c r="G227" s="167"/>
      <c r="H227" s="167"/>
      <c r="I227" s="167"/>
      <c r="J227" s="167"/>
      <c r="K227" s="167"/>
      <c r="L227" s="167"/>
      <c r="M227" s="167"/>
      <c r="N227" s="167"/>
      <c r="O227" s="167"/>
      <c r="P227" s="167"/>
    </row>
    <row r="228" spans="1:16" x14ac:dyDescent="0.25">
      <c r="A228" s="434" t="s">
        <v>716</v>
      </c>
      <c r="B228" s="89">
        <f>8+(1/12)</f>
        <v>8.0833333333333339</v>
      </c>
      <c r="C228" s="88" t="s">
        <v>581</v>
      </c>
      <c r="E228" s="947" t="s">
        <v>728</v>
      </c>
      <c r="F228" s="947"/>
      <c r="G228" s="947"/>
      <c r="H228" s="947"/>
      <c r="I228" s="947"/>
      <c r="J228" s="947"/>
      <c r="K228" s="947"/>
      <c r="L228" s="947"/>
      <c r="M228" s="947"/>
      <c r="N228" s="947"/>
      <c r="O228" s="947"/>
      <c r="P228" s="947"/>
    </row>
    <row r="229" spans="1:16" x14ac:dyDescent="0.25">
      <c r="A229" s="434" t="s">
        <v>718</v>
      </c>
      <c r="B229" s="435">
        <f>43560/B228</f>
        <v>5388.8659793814431</v>
      </c>
      <c r="C229" s="88" t="s">
        <v>581</v>
      </c>
      <c r="E229" s="167"/>
      <c r="F229" s="167"/>
      <c r="G229" s="167"/>
      <c r="H229" s="167"/>
      <c r="I229" s="167"/>
      <c r="J229" s="167"/>
      <c r="K229" s="167"/>
      <c r="L229" s="167"/>
      <c r="M229" s="167"/>
      <c r="N229" s="167"/>
      <c r="O229" s="167"/>
      <c r="P229" s="167"/>
    </row>
    <row r="230" spans="1:16" x14ac:dyDescent="0.25">
      <c r="A230" s="434" t="s">
        <v>719</v>
      </c>
      <c r="B230" s="89">
        <f>B229/(B227*5280)</f>
        <v>1.3608247422680413</v>
      </c>
      <c r="C230" s="88" t="s">
        <v>446</v>
      </c>
      <c r="E230" s="947"/>
      <c r="F230" s="947"/>
      <c r="G230" s="947"/>
      <c r="H230" s="947"/>
      <c r="I230" s="947"/>
      <c r="J230" s="947"/>
      <c r="K230" s="947"/>
      <c r="L230" s="947"/>
      <c r="M230" s="947"/>
      <c r="N230" s="947"/>
      <c r="O230" s="947"/>
      <c r="P230" s="947"/>
    </row>
    <row r="231" spans="1:16" x14ac:dyDescent="0.25">
      <c r="A231" s="87" t="s">
        <v>720</v>
      </c>
      <c r="B231">
        <v>3</v>
      </c>
      <c r="C231" s="88" t="s">
        <v>581</v>
      </c>
      <c r="E231" s="947"/>
      <c r="F231" s="947"/>
      <c r="G231" s="947"/>
      <c r="H231" s="947"/>
      <c r="I231" s="947"/>
      <c r="J231" s="947"/>
      <c r="K231" s="947"/>
      <c r="L231" s="947"/>
      <c r="M231" s="947"/>
      <c r="N231" s="947"/>
      <c r="O231" s="947"/>
      <c r="P231" s="947"/>
    </row>
    <row r="232" spans="1:16" x14ac:dyDescent="0.25">
      <c r="A232" s="87" t="s">
        <v>721</v>
      </c>
      <c r="B232" s="93">
        <f>(B229*B231*B228)/27</f>
        <v>4840</v>
      </c>
      <c r="C232" s="88" t="s">
        <v>722</v>
      </c>
      <c r="E232" s="947"/>
      <c r="F232" s="947"/>
      <c r="G232" s="947"/>
      <c r="H232" s="947"/>
      <c r="I232" s="947"/>
      <c r="J232" s="947"/>
      <c r="K232" s="947"/>
      <c r="L232" s="947"/>
      <c r="M232" s="947"/>
      <c r="N232" s="947"/>
      <c r="O232" s="947"/>
      <c r="P232" s="947"/>
    </row>
    <row r="233" spans="1:16" x14ac:dyDescent="0.25">
      <c r="A233" s="109" t="s">
        <v>723</v>
      </c>
      <c r="B233" s="436">
        <f>1/B230</f>
        <v>0.73484848484848486</v>
      </c>
      <c r="C233" s="110" t="s">
        <v>608</v>
      </c>
      <c r="E233" s="167"/>
      <c r="F233" s="167"/>
      <c r="G233" s="167"/>
      <c r="H233" s="167"/>
      <c r="I233" s="167"/>
      <c r="J233" s="167"/>
      <c r="K233" s="167"/>
      <c r="L233" s="167"/>
      <c r="M233" s="167"/>
      <c r="N233" s="167"/>
      <c r="O233" s="167"/>
      <c r="P233" s="167"/>
    </row>
    <row r="234" spans="1:16" x14ac:dyDescent="0.25">
      <c r="A234" s="455"/>
      <c r="B234" s="76"/>
      <c r="C234" s="88"/>
      <c r="E234" s="167"/>
      <c r="F234" s="167"/>
      <c r="G234" s="167"/>
      <c r="H234" s="167"/>
      <c r="I234" s="167"/>
      <c r="J234" s="167"/>
      <c r="K234" s="167"/>
      <c r="L234" s="167"/>
      <c r="M234" s="167"/>
      <c r="N234" s="167"/>
      <c r="O234" s="167"/>
      <c r="P234" s="167"/>
    </row>
    <row r="235" spans="1:16" ht="15.75" thickBot="1" x14ac:dyDescent="0.3">
      <c r="A235" s="95"/>
      <c r="B235" s="99"/>
      <c r="C235" s="96"/>
      <c r="D235" s="430"/>
      <c r="E235" s="947"/>
      <c r="F235" s="947"/>
      <c r="G235" s="947"/>
      <c r="H235" s="947"/>
      <c r="I235" s="947"/>
      <c r="J235" s="947"/>
      <c r="K235" s="947"/>
      <c r="L235" s="947"/>
      <c r="M235" s="947"/>
      <c r="N235" s="947"/>
      <c r="O235" s="947"/>
      <c r="P235" s="947"/>
    </row>
    <row r="236" spans="1:16" x14ac:dyDescent="0.25">
      <c r="E236" s="947"/>
      <c r="F236" s="947"/>
      <c r="G236" s="947"/>
      <c r="H236" s="947"/>
      <c r="I236" s="947"/>
      <c r="J236" s="947"/>
      <c r="K236" s="947"/>
      <c r="L236" s="947"/>
      <c r="M236" s="947"/>
      <c r="N236" s="947"/>
      <c r="O236" s="947"/>
      <c r="P236" s="947"/>
    </row>
    <row r="237" spans="1:16" s="89" customFormat="1" ht="15.75" thickBot="1" x14ac:dyDescent="0.3">
      <c r="E237" s="947"/>
      <c r="F237" s="947"/>
      <c r="G237" s="947"/>
      <c r="H237" s="947"/>
      <c r="I237" s="947"/>
      <c r="J237" s="947"/>
      <c r="K237" s="947"/>
      <c r="L237" s="947"/>
      <c r="M237" s="947"/>
      <c r="N237" s="947"/>
      <c r="O237" s="947"/>
      <c r="P237" s="947"/>
    </row>
    <row r="238" spans="1:16" x14ac:dyDescent="0.25">
      <c r="A238" s="949" t="s">
        <v>729</v>
      </c>
      <c r="B238" s="950"/>
      <c r="C238" s="951"/>
      <c r="E238" s="947" t="s">
        <v>730</v>
      </c>
      <c r="F238" s="947"/>
      <c r="G238" s="947"/>
      <c r="H238" s="947"/>
      <c r="I238" s="947"/>
      <c r="J238" s="947"/>
      <c r="K238" s="947"/>
      <c r="L238" s="947"/>
      <c r="M238" s="947"/>
      <c r="N238" s="947"/>
      <c r="O238" s="947"/>
      <c r="P238" s="947"/>
    </row>
    <row r="239" spans="1:16" x14ac:dyDescent="0.25">
      <c r="A239" s="83"/>
      <c r="C239" s="84"/>
      <c r="E239" s="952"/>
      <c r="F239" s="952"/>
      <c r="G239" s="952"/>
      <c r="H239" s="952"/>
      <c r="I239" s="952"/>
      <c r="J239" s="952"/>
      <c r="K239" s="952"/>
      <c r="L239" s="952"/>
      <c r="M239" s="952"/>
      <c r="N239" s="952"/>
      <c r="O239" s="952"/>
      <c r="P239" s="952"/>
    </row>
    <row r="240" spans="1:16" x14ac:dyDescent="0.25">
      <c r="A240" s="438" t="s">
        <v>702</v>
      </c>
      <c r="C240" s="84"/>
      <c r="E240" s="947"/>
      <c r="F240" s="947"/>
      <c r="G240" s="947"/>
      <c r="H240" s="947"/>
      <c r="I240" s="947"/>
      <c r="J240" s="947"/>
      <c r="K240" s="947"/>
      <c r="L240" s="947"/>
      <c r="M240" s="947"/>
      <c r="N240" s="947"/>
      <c r="O240" s="947"/>
      <c r="P240" s="947"/>
    </row>
    <row r="241" spans="1:16" x14ac:dyDescent="0.25">
      <c r="A241" s="439" t="s">
        <v>703</v>
      </c>
      <c r="B241">
        <v>1500</v>
      </c>
      <c r="C241" s="84" t="s">
        <v>614</v>
      </c>
      <c r="E241" s="947" t="s">
        <v>725</v>
      </c>
      <c r="F241" s="947"/>
      <c r="G241" s="947"/>
      <c r="H241" s="947"/>
      <c r="I241" s="947"/>
      <c r="J241" s="947"/>
      <c r="K241" s="947"/>
      <c r="L241" s="947"/>
      <c r="M241" s="947"/>
      <c r="N241" s="947"/>
      <c r="O241" s="947"/>
      <c r="P241" s="947"/>
    </row>
    <row r="242" spans="1:16" x14ac:dyDescent="0.25">
      <c r="A242" s="439" t="s">
        <v>705</v>
      </c>
      <c r="B242" s="93">
        <f>(43560*2)/27</f>
        <v>3226.6666666666665</v>
      </c>
      <c r="C242" s="84" t="s">
        <v>706</v>
      </c>
      <c r="E242" s="167"/>
      <c r="F242" s="167"/>
      <c r="G242" s="167"/>
      <c r="H242" s="167"/>
      <c r="I242" s="167"/>
      <c r="J242" s="167"/>
      <c r="K242" s="167"/>
      <c r="L242" s="167"/>
      <c r="M242" s="167"/>
      <c r="N242" s="167"/>
      <c r="O242" s="167"/>
      <c r="P242" s="167"/>
    </row>
    <row r="243" spans="1:16" x14ac:dyDescent="0.25">
      <c r="A243" s="91" t="s">
        <v>707</v>
      </c>
      <c r="B243" s="432">
        <f>B241/B242</f>
        <v>0.46487603305785125</v>
      </c>
      <c r="C243" s="110" t="s">
        <v>608</v>
      </c>
      <c r="E243" s="167"/>
      <c r="F243" s="167"/>
      <c r="G243" s="167"/>
      <c r="H243" s="167"/>
      <c r="I243" s="167"/>
      <c r="J243" s="167"/>
      <c r="K243" s="167"/>
      <c r="L243" s="167"/>
      <c r="M243" s="167"/>
      <c r="N243" s="167"/>
      <c r="O243" s="167"/>
      <c r="P243" s="167"/>
    </row>
    <row r="244" spans="1:16" x14ac:dyDescent="0.25">
      <c r="A244" s="91"/>
      <c r="B244" s="432"/>
      <c r="C244" s="110"/>
      <c r="E244" s="167"/>
      <c r="F244" s="167"/>
      <c r="G244" s="167"/>
      <c r="H244" s="167"/>
      <c r="I244" s="167"/>
      <c r="J244" s="167"/>
      <c r="K244" s="167"/>
      <c r="L244" s="167"/>
      <c r="M244" s="167"/>
      <c r="N244" s="167"/>
      <c r="O244" s="167"/>
      <c r="P244" s="167"/>
    </row>
    <row r="245" spans="1:16" x14ac:dyDescent="0.25">
      <c r="A245" s="439" t="s">
        <v>726</v>
      </c>
      <c r="B245">
        <v>600</v>
      </c>
      <c r="C245" s="84" t="s">
        <v>614</v>
      </c>
      <c r="E245" s="947" t="s">
        <v>725</v>
      </c>
      <c r="F245" s="947"/>
      <c r="G245" s="947"/>
      <c r="H245" s="947"/>
      <c r="I245" s="947"/>
      <c r="J245" s="947"/>
      <c r="K245" s="947"/>
      <c r="L245" s="947"/>
      <c r="M245" s="947"/>
      <c r="N245" s="947"/>
      <c r="O245" s="947"/>
      <c r="P245" s="947"/>
    </row>
    <row r="246" spans="1:16" x14ac:dyDescent="0.25">
      <c r="A246" s="437"/>
      <c r="C246" s="84"/>
      <c r="E246" s="167"/>
      <c r="F246" s="167"/>
      <c r="G246" s="167"/>
      <c r="H246" s="167"/>
      <c r="I246" s="167"/>
      <c r="J246" s="167"/>
      <c r="K246" s="167"/>
      <c r="L246" s="167"/>
      <c r="M246" s="167"/>
      <c r="N246" s="167"/>
      <c r="O246" s="167"/>
      <c r="P246" s="167"/>
    </row>
    <row r="247" spans="1:16" x14ac:dyDescent="0.25">
      <c r="A247" s="438" t="s">
        <v>708</v>
      </c>
      <c r="C247" s="84"/>
      <c r="E247" s="167"/>
      <c r="F247" s="167"/>
      <c r="G247" s="167"/>
      <c r="H247" s="167"/>
      <c r="I247" s="167"/>
      <c r="J247" s="167"/>
      <c r="K247" s="167"/>
      <c r="L247" s="167"/>
      <c r="M247" s="167"/>
      <c r="N247" s="167"/>
      <c r="O247" s="167"/>
      <c r="P247" s="167"/>
    </row>
    <row r="248" spans="1:16" x14ac:dyDescent="0.25">
      <c r="A248" s="439" t="s">
        <v>709</v>
      </c>
      <c r="B248">
        <v>2.5</v>
      </c>
      <c r="C248" s="84" t="s">
        <v>710</v>
      </c>
      <c r="E248" s="167"/>
      <c r="F248" s="167"/>
      <c r="G248" s="167"/>
      <c r="H248" s="167"/>
      <c r="I248" s="167"/>
      <c r="J248" s="167"/>
      <c r="K248" s="167"/>
      <c r="L248" s="167"/>
      <c r="M248" s="167"/>
      <c r="N248" s="167"/>
      <c r="O248" s="167"/>
      <c r="P248" s="167"/>
    </row>
    <row r="249" spans="1:16" x14ac:dyDescent="0.25">
      <c r="A249" s="439" t="s">
        <v>711</v>
      </c>
      <c r="B249" s="21">
        <v>16.25</v>
      </c>
      <c r="C249" s="88" t="s">
        <v>581</v>
      </c>
      <c r="E249" s="947" t="s">
        <v>727</v>
      </c>
      <c r="F249" s="947"/>
      <c r="G249" s="947"/>
      <c r="H249" s="947"/>
      <c r="I249" s="947"/>
      <c r="J249" s="947"/>
      <c r="K249" s="947"/>
      <c r="L249" s="947"/>
      <c r="M249" s="947"/>
      <c r="N249" s="947"/>
      <c r="O249" s="947"/>
      <c r="P249" s="947"/>
    </row>
    <row r="250" spans="1:16" x14ac:dyDescent="0.25">
      <c r="A250" s="440" t="s">
        <v>713</v>
      </c>
      <c r="B250" s="21">
        <v>2</v>
      </c>
      <c r="C250" s="88" t="s">
        <v>581</v>
      </c>
      <c r="E250" s="167"/>
      <c r="F250" s="167"/>
      <c r="G250" s="167"/>
      <c r="H250" s="167"/>
      <c r="I250" s="167"/>
      <c r="J250" s="167"/>
      <c r="K250" s="167"/>
      <c r="L250" s="167"/>
      <c r="M250" s="167"/>
      <c r="N250" s="167"/>
      <c r="O250" s="167"/>
      <c r="P250" s="167"/>
    </row>
    <row r="251" spans="1:16" x14ac:dyDescent="0.25">
      <c r="A251" s="91" t="s">
        <v>707</v>
      </c>
      <c r="B251" s="432">
        <f>((B248*5280)*(B249-B250))/43560</f>
        <v>4.3181818181818183</v>
      </c>
      <c r="C251" s="433" t="s">
        <v>608</v>
      </c>
      <c r="E251" s="947"/>
      <c r="F251" s="947"/>
      <c r="G251" s="947"/>
      <c r="H251" s="947"/>
      <c r="I251" s="947"/>
      <c r="J251" s="947"/>
      <c r="K251" s="947"/>
      <c r="L251" s="947"/>
      <c r="M251" s="947"/>
      <c r="N251" s="947"/>
      <c r="O251" s="947"/>
      <c r="P251" s="947"/>
    </row>
    <row r="252" spans="1:16" x14ac:dyDescent="0.25">
      <c r="A252" s="455"/>
      <c r="B252" s="76"/>
      <c r="C252" s="88"/>
      <c r="E252" s="947"/>
      <c r="F252" s="947"/>
      <c r="G252" s="947"/>
      <c r="H252" s="947"/>
      <c r="I252" s="947"/>
      <c r="J252" s="947"/>
      <c r="K252" s="947"/>
      <c r="L252" s="947"/>
      <c r="M252" s="947"/>
      <c r="N252" s="947"/>
      <c r="O252" s="947"/>
      <c r="P252" s="947"/>
    </row>
    <row r="253" spans="1:16" x14ac:dyDescent="0.25">
      <c r="A253" s="86" t="s">
        <v>714</v>
      </c>
      <c r="B253" s="76"/>
      <c r="C253" s="88"/>
      <c r="E253" s="167"/>
      <c r="F253" s="167"/>
      <c r="G253" s="167"/>
      <c r="H253" s="167"/>
      <c r="I253" s="167"/>
      <c r="J253" s="167"/>
      <c r="K253" s="167"/>
      <c r="L253" s="167"/>
      <c r="M253" s="167"/>
      <c r="N253" s="167"/>
      <c r="O253" s="167"/>
      <c r="P253" s="167"/>
    </row>
    <row r="254" spans="1:16" x14ac:dyDescent="0.25">
      <c r="A254" s="455" t="s">
        <v>715</v>
      </c>
      <c r="B254">
        <v>0.5</v>
      </c>
      <c r="C254" s="84" t="s">
        <v>710</v>
      </c>
      <c r="E254" s="167"/>
      <c r="F254" s="167"/>
      <c r="G254" s="167"/>
      <c r="H254" s="167"/>
      <c r="I254" s="167"/>
      <c r="J254" s="167"/>
      <c r="K254" s="167"/>
      <c r="L254" s="167"/>
      <c r="M254" s="167"/>
      <c r="N254" s="167"/>
      <c r="O254" s="167"/>
      <c r="P254" s="167"/>
    </row>
    <row r="255" spans="1:16" x14ac:dyDescent="0.25">
      <c r="A255" s="434" t="s">
        <v>716</v>
      </c>
      <c r="B255" s="89">
        <f>9+(7/12)</f>
        <v>9.5833333333333339</v>
      </c>
      <c r="C255" s="88" t="s">
        <v>581</v>
      </c>
      <c r="E255" s="947" t="s">
        <v>731</v>
      </c>
      <c r="F255" s="947"/>
      <c r="G255" s="947"/>
      <c r="H255" s="947"/>
      <c r="I255" s="947"/>
      <c r="J255" s="947"/>
      <c r="K255" s="947"/>
      <c r="L255" s="947"/>
      <c r="M255" s="947"/>
      <c r="N255" s="947"/>
      <c r="O255" s="947"/>
      <c r="P255" s="947"/>
    </row>
    <row r="256" spans="1:16" x14ac:dyDescent="0.25">
      <c r="A256" s="434" t="s">
        <v>718</v>
      </c>
      <c r="B256" s="435">
        <f>43560/B255</f>
        <v>4545.391304347826</v>
      </c>
      <c r="C256" s="88" t="s">
        <v>581</v>
      </c>
      <c r="E256" s="167"/>
      <c r="F256" s="167"/>
      <c r="G256" s="167"/>
      <c r="H256" s="167"/>
      <c r="I256" s="167"/>
      <c r="J256" s="167"/>
      <c r="K256" s="167"/>
      <c r="L256" s="167"/>
      <c r="M256" s="167"/>
      <c r="N256" s="167"/>
      <c r="O256" s="167"/>
      <c r="P256" s="167"/>
    </row>
    <row r="257" spans="1:21" x14ac:dyDescent="0.25">
      <c r="A257" s="434" t="s">
        <v>719</v>
      </c>
      <c r="B257" s="89">
        <f>B256/(B254*5280)</f>
        <v>1.7217391304347827</v>
      </c>
      <c r="C257" s="88" t="s">
        <v>446</v>
      </c>
      <c r="E257" s="947"/>
      <c r="F257" s="947"/>
      <c r="G257" s="947"/>
      <c r="H257" s="947"/>
      <c r="I257" s="947"/>
      <c r="J257" s="947"/>
      <c r="K257" s="947"/>
      <c r="L257" s="947"/>
      <c r="M257" s="947"/>
      <c r="N257" s="947"/>
      <c r="O257" s="947"/>
      <c r="P257" s="947"/>
    </row>
    <row r="258" spans="1:21" x14ac:dyDescent="0.25">
      <c r="A258" s="87" t="s">
        <v>720</v>
      </c>
      <c r="B258">
        <v>3</v>
      </c>
      <c r="C258" s="88" t="s">
        <v>581</v>
      </c>
      <c r="E258" s="947"/>
      <c r="F258" s="947"/>
      <c r="G258" s="947"/>
      <c r="H258" s="947"/>
      <c r="I258" s="947"/>
      <c r="J258" s="947"/>
      <c r="K258" s="947"/>
      <c r="L258" s="947"/>
      <c r="M258" s="947"/>
      <c r="N258" s="947"/>
      <c r="O258" s="947"/>
      <c r="P258" s="947"/>
    </row>
    <row r="259" spans="1:21" x14ac:dyDescent="0.25">
      <c r="A259" s="87" t="s">
        <v>721</v>
      </c>
      <c r="B259" s="93">
        <f>(B256*B258*B255)/27</f>
        <v>4840</v>
      </c>
      <c r="C259" s="88" t="s">
        <v>722</v>
      </c>
      <c r="E259" s="947"/>
      <c r="F259" s="947"/>
      <c r="G259" s="947"/>
      <c r="H259" s="947"/>
      <c r="I259" s="947"/>
      <c r="J259" s="947"/>
      <c r="K259" s="947"/>
      <c r="L259" s="947"/>
      <c r="M259" s="947"/>
      <c r="N259" s="947"/>
      <c r="O259" s="947"/>
      <c r="P259" s="947"/>
    </row>
    <row r="260" spans="1:21" x14ac:dyDescent="0.25">
      <c r="A260" s="109" t="s">
        <v>723</v>
      </c>
      <c r="B260" s="436">
        <f>1/B257</f>
        <v>0.58080808080808077</v>
      </c>
      <c r="C260" s="110" t="s">
        <v>608</v>
      </c>
      <c r="E260" s="167"/>
      <c r="F260" s="167"/>
      <c r="G260" s="167"/>
      <c r="H260" s="167"/>
      <c r="I260" s="167"/>
      <c r="J260" s="167"/>
      <c r="K260" s="167"/>
      <c r="L260" s="167"/>
      <c r="M260" s="167"/>
      <c r="N260" s="167"/>
      <c r="O260" s="167"/>
      <c r="P260" s="167"/>
    </row>
    <row r="261" spans="1:21" x14ac:dyDescent="0.25">
      <c r="A261" s="455"/>
      <c r="B261" s="76"/>
      <c r="C261" s="88"/>
      <c r="E261" s="167"/>
      <c r="F261" s="167"/>
      <c r="G261" s="167"/>
      <c r="H261" s="167"/>
      <c r="I261" s="167"/>
      <c r="J261" s="167"/>
      <c r="K261" s="167"/>
      <c r="L261" s="167"/>
      <c r="M261" s="167"/>
      <c r="N261" s="167"/>
      <c r="O261" s="167"/>
      <c r="P261" s="167"/>
    </row>
    <row r="262" spans="1:21" ht="15.75" thickBot="1" x14ac:dyDescent="0.3">
      <c r="A262" s="95"/>
      <c r="B262" s="99"/>
      <c r="C262" s="96"/>
      <c r="D262" s="430"/>
      <c r="E262"/>
    </row>
    <row r="263" spans="1:21" x14ac:dyDescent="0.25">
      <c r="E263"/>
    </row>
    <row r="264" spans="1:21" x14ac:dyDescent="0.25">
      <c r="B264" s="81"/>
      <c r="C264" s="82"/>
      <c r="E264"/>
    </row>
    <row r="265" spans="1:21" x14ac:dyDescent="0.25">
      <c r="A265" s="965" t="s">
        <v>732</v>
      </c>
      <c r="B265" s="965"/>
      <c r="C265" s="965"/>
      <c r="D265" s="965"/>
      <c r="E265" s="965"/>
    </row>
    <row r="266" spans="1:21" s="3" customFormat="1" ht="30" x14ac:dyDescent="0.25">
      <c r="C266" s="447"/>
      <c r="D266" s="2"/>
      <c r="P266" s="275" t="s">
        <v>2019</v>
      </c>
      <c r="R266" s="2" t="s">
        <v>1772</v>
      </c>
      <c r="S266" s="2" t="s">
        <v>1772</v>
      </c>
      <c r="T266" s="2" t="s">
        <v>1772</v>
      </c>
      <c r="U266" s="18" t="s">
        <v>1894</v>
      </c>
    </row>
    <row r="267" spans="1:21" s="3" customFormat="1" x14ac:dyDescent="0.25">
      <c r="C267" s="2" t="s">
        <v>733</v>
      </c>
      <c r="D267" s="2" t="s">
        <v>734</v>
      </c>
      <c r="E267" s="2" t="s">
        <v>735</v>
      </c>
      <c r="F267" s="2" t="s">
        <v>736</v>
      </c>
      <c r="G267" s="2" t="s">
        <v>2017</v>
      </c>
      <c r="H267" s="2" t="s">
        <v>737</v>
      </c>
      <c r="I267" s="2" t="s">
        <v>738</v>
      </c>
      <c r="J267" s="2" t="s">
        <v>739</v>
      </c>
      <c r="K267" s="2" t="s">
        <v>740</v>
      </c>
      <c r="L267" s="2" t="s">
        <v>741</v>
      </c>
      <c r="M267" s="2" t="s">
        <v>638</v>
      </c>
      <c r="N267" s="2" t="s">
        <v>621</v>
      </c>
      <c r="O267" s="2" t="s">
        <v>287</v>
      </c>
      <c r="P267" s="275" t="s">
        <v>2018</v>
      </c>
      <c r="Q267" s="2" t="s">
        <v>742</v>
      </c>
      <c r="R267" s="2" t="s">
        <v>1774</v>
      </c>
      <c r="S267" s="2" t="s">
        <v>1775</v>
      </c>
      <c r="T267" s="2" t="s">
        <v>1774</v>
      </c>
      <c r="U267" s="2" t="s">
        <v>1778</v>
      </c>
    </row>
    <row r="268" spans="1:21" x14ac:dyDescent="0.25">
      <c r="A268" t="s">
        <v>743</v>
      </c>
      <c r="B268" s="441" t="s">
        <v>744</v>
      </c>
      <c r="C268" s="487">
        <v>13200</v>
      </c>
      <c r="D268" s="488">
        <v>14250</v>
      </c>
      <c r="E268" s="488">
        <v>19535</v>
      </c>
      <c r="F268" s="487">
        <v>13200</v>
      </c>
      <c r="G268" s="487">
        <v>10000</v>
      </c>
      <c r="H268" s="487">
        <v>13200</v>
      </c>
      <c r="I268" s="489">
        <v>11000</v>
      </c>
      <c r="J268" s="489">
        <v>3500</v>
      </c>
      <c r="K268" s="489">
        <v>3500</v>
      </c>
      <c r="L268" s="489">
        <v>2000</v>
      </c>
      <c r="M268" s="489">
        <v>9500</v>
      </c>
      <c r="N268" s="489">
        <v>8000</v>
      </c>
      <c r="O268" s="489">
        <v>5000</v>
      </c>
      <c r="P268" s="489">
        <v>5000</v>
      </c>
      <c r="Q268" s="489">
        <v>500</v>
      </c>
      <c r="R268" s="489">
        <v>17400</v>
      </c>
      <c r="S268" s="489">
        <v>17400</v>
      </c>
      <c r="T268" s="869">
        <v>5000</v>
      </c>
      <c r="U268" s="489">
        <v>5000</v>
      </c>
    </row>
    <row r="269" spans="1:21" x14ac:dyDescent="0.25">
      <c r="B269" s="441"/>
      <c r="C269"/>
      <c r="E269"/>
    </row>
    <row r="270" spans="1:21" x14ac:dyDescent="0.25">
      <c r="B270" s="441"/>
      <c r="C270"/>
      <c r="E270"/>
    </row>
    <row r="271" spans="1:21" x14ac:dyDescent="0.25">
      <c r="A271" s="442" t="s">
        <v>745</v>
      </c>
      <c r="B271" s="441"/>
      <c r="C271"/>
      <c r="E271"/>
    </row>
    <row r="272" spans="1:21" x14ac:dyDescent="0.25">
      <c r="A272" s="443" t="s">
        <v>746</v>
      </c>
      <c r="B272" s="444" t="s">
        <v>710</v>
      </c>
      <c r="C272" s="21">
        <v>12</v>
      </c>
      <c r="D272" s="21">
        <v>12</v>
      </c>
      <c r="E272" s="21">
        <v>12</v>
      </c>
      <c r="F272" s="21">
        <v>12</v>
      </c>
      <c r="G272" s="21">
        <v>12</v>
      </c>
      <c r="H272" s="21">
        <v>12</v>
      </c>
      <c r="I272" s="21">
        <v>12</v>
      </c>
      <c r="J272" s="21">
        <v>12</v>
      </c>
      <c r="K272" s="21">
        <v>12</v>
      </c>
      <c r="L272" s="21">
        <v>12</v>
      </c>
      <c r="M272" s="21">
        <v>12</v>
      </c>
      <c r="N272" s="21">
        <v>12</v>
      </c>
      <c r="O272" s="21">
        <v>12</v>
      </c>
      <c r="P272" s="21">
        <v>12</v>
      </c>
      <c r="Q272" s="21">
        <v>20</v>
      </c>
      <c r="R272" s="21">
        <v>20</v>
      </c>
      <c r="S272" s="21">
        <v>12</v>
      </c>
      <c r="T272" s="21">
        <v>20</v>
      </c>
      <c r="U272" s="21">
        <v>12</v>
      </c>
    </row>
    <row r="273" spans="1:21" x14ac:dyDescent="0.25">
      <c r="A273" s="443" t="s">
        <v>747</v>
      </c>
      <c r="B273" s="444" t="s">
        <v>710</v>
      </c>
      <c r="C273" s="21">
        <v>20</v>
      </c>
      <c r="D273" s="21">
        <v>20</v>
      </c>
      <c r="E273" s="21">
        <v>20</v>
      </c>
      <c r="F273" s="21">
        <v>20</v>
      </c>
      <c r="G273" s="21">
        <v>20</v>
      </c>
      <c r="H273" s="21">
        <v>20</v>
      </c>
      <c r="I273" s="21">
        <v>20</v>
      </c>
      <c r="J273" s="21">
        <v>20</v>
      </c>
      <c r="K273" s="21">
        <v>20</v>
      </c>
      <c r="L273" s="21">
        <v>20</v>
      </c>
      <c r="M273" s="21">
        <v>20</v>
      </c>
      <c r="N273" s="21">
        <v>20</v>
      </c>
      <c r="O273" s="21">
        <v>20</v>
      </c>
      <c r="P273" s="21">
        <v>20</v>
      </c>
      <c r="Q273" s="21">
        <v>20</v>
      </c>
      <c r="R273" s="21">
        <v>20</v>
      </c>
      <c r="S273" s="21">
        <v>20</v>
      </c>
      <c r="T273" s="21">
        <v>20</v>
      </c>
      <c r="U273" s="21">
        <v>20</v>
      </c>
    </row>
    <row r="274" spans="1:21" x14ac:dyDescent="0.25">
      <c r="A274" s="167"/>
      <c r="B274" s="441"/>
      <c r="C274"/>
      <c r="E274"/>
    </row>
    <row r="275" spans="1:21" x14ac:dyDescent="0.25">
      <c r="A275" s="455" t="s">
        <v>748</v>
      </c>
      <c r="B275" s="441" t="s">
        <v>749</v>
      </c>
      <c r="C275">
        <v>2.4500000000000002</v>
      </c>
      <c r="D275">
        <v>2.4500000000000002</v>
      </c>
      <c r="E275">
        <v>2.4500000000000002</v>
      </c>
      <c r="F275">
        <v>2.4500000000000002</v>
      </c>
      <c r="G275">
        <v>2.4500000000000002</v>
      </c>
      <c r="H275">
        <v>2.4500000000000002</v>
      </c>
      <c r="I275">
        <v>2.4500000000000002</v>
      </c>
      <c r="J275">
        <v>2.4500000000000002</v>
      </c>
      <c r="K275">
        <v>2.4500000000000002</v>
      </c>
      <c r="L275">
        <v>2.4500000000000002</v>
      </c>
      <c r="M275">
        <v>2.4500000000000002</v>
      </c>
      <c r="N275">
        <v>2.4500000000000002</v>
      </c>
      <c r="O275">
        <v>2.4500000000000002</v>
      </c>
      <c r="P275">
        <v>2.4500000000000002</v>
      </c>
      <c r="Q275">
        <v>2.4500000000000002</v>
      </c>
      <c r="R275">
        <v>4.5</v>
      </c>
      <c r="S275">
        <v>2.4500000000000002</v>
      </c>
      <c r="T275">
        <v>4.5</v>
      </c>
      <c r="U275">
        <v>2.4500000000000002</v>
      </c>
    </row>
    <row r="276" spans="1:21" x14ac:dyDescent="0.25">
      <c r="A276" s="455" t="s">
        <v>750</v>
      </c>
      <c r="B276" s="441" t="s">
        <v>749</v>
      </c>
      <c r="C276" s="81">
        <f>($C$268/5280)/C272*60</f>
        <v>12.5</v>
      </c>
      <c r="D276" s="81">
        <f>($D$268/5280)/D272*60</f>
        <v>13.49431818181818</v>
      </c>
      <c r="E276" s="81">
        <f>($E$268/5280)/E272*60</f>
        <v>18.499053030303031</v>
      </c>
      <c r="F276" s="81">
        <f>($F$268/5280)/F272*60</f>
        <v>12.5</v>
      </c>
      <c r="G276" s="81">
        <f>(G268/5280)/G272*60</f>
        <v>9.4696969696969706</v>
      </c>
      <c r="H276" s="81">
        <f>(H268/5280)/H272*60</f>
        <v>12.5</v>
      </c>
      <c r="I276" s="81">
        <f t="shared" ref="I276:L276" si="112">(I268/5280)/I272*60</f>
        <v>10.416666666666668</v>
      </c>
      <c r="J276" s="81">
        <f t="shared" si="112"/>
        <v>3.314393939393939</v>
      </c>
      <c r="K276" s="81">
        <f t="shared" si="112"/>
        <v>3.314393939393939</v>
      </c>
      <c r="L276" s="81">
        <f t="shared" si="112"/>
        <v>1.893939393939394</v>
      </c>
      <c r="M276" s="81">
        <f t="shared" ref="M276" si="113">(M268/5280)/M272*60</f>
        <v>8.9962121212121229</v>
      </c>
      <c r="N276" s="81">
        <f t="shared" ref="N276" si="114">(N268/5280)/N272*60</f>
        <v>7.5757575757575761</v>
      </c>
      <c r="O276" s="81">
        <f t="shared" ref="O276:P276" si="115">(O268/5280)/O272*60</f>
        <v>4.7348484848484853</v>
      </c>
      <c r="P276" s="81">
        <f t="shared" si="115"/>
        <v>4.7348484848484853</v>
      </c>
      <c r="Q276" s="81">
        <f t="shared" ref="Q276" si="116">(Q268/5280)/Q272*60</f>
        <v>0.28409090909090912</v>
      </c>
      <c r="R276" s="81">
        <f t="shared" ref="R276" si="117">(R268/5280)/R272*60</f>
        <v>9.8863636363636367</v>
      </c>
      <c r="S276" s="81">
        <f t="shared" ref="S276:T276" si="118">(S268/5280)/S272*60</f>
        <v>16.477272727272727</v>
      </c>
      <c r="T276" s="81">
        <f t="shared" si="118"/>
        <v>2.8409090909090908</v>
      </c>
      <c r="U276" s="81">
        <f t="shared" ref="U276" si="119">(U268/5280)/U272*60</f>
        <v>4.7348484848484853</v>
      </c>
    </row>
    <row r="277" spans="1:21" x14ac:dyDescent="0.25">
      <c r="A277" s="455" t="s">
        <v>751</v>
      </c>
      <c r="B277" s="441" t="s">
        <v>749</v>
      </c>
      <c r="C277" s="81">
        <v>1.6</v>
      </c>
      <c r="D277" s="81">
        <v>1.6</v>
      </c>
      <c r="E277" s="81">
        <v>1.6</v>
      </c>
      <c r="F277" s="81">
        <v>1.6</v>
      </c>
      <c r="G277" s="81">
        <v>1.6</v>
      </c>
      <c r="H277" s="81">
        <v>1.6</v>
      </c>
      <c r="I277" s="81">
        <v>1.6</v>
      </c>
      <c r="J277" s="81">
        <v>1.6</v>
      </c>
      <c r="K277" s="81">
        <v>1.6</v>
      </c>
      <c r="L277" s="81">
        <v>1.6</v>
      </c>
      <c r="M277" s="81">
        <v>1.6</v>
      </c>
      <c r="N277" s="81">
        <v>1.6</v>
      </c>
      <c r="O277" s="81">
        <v>1.6</v>
      </c>
      <c r="P277" s="81">
        <v>1.6</v>
      </c>
      <c r="Q277" s="81">
        <v>1.6</v>
      </c>
      <c r="R277" s="81">
        <v>1.6</v>
      </c>
      <c r="S277" s="81">
        <v>1.6</v>
      </c>
      <c r="T277" s="81">
        <v>1.6</v>
      </c>
      <c r="U277" s="81">
        <v>1.6</v>
      </c>
    </row>
    <row r="278" spans="1:21" x14ac:dyDescent="0.25">
      <c r="A278" s="455" t="s">
        <v>752</v>
      </c>
      <c r="B278" s="441" t="s">
        <v>749</v>
      </c>
      <c r="C278" s="81">
        <f>($C$268/5280)/C273*60</f>
        <v>7.5</v>
      </c>
      <c r="D278" s="81">
        <f>($D$268/5280)/D273*60</f>
        <v>8.0965909090909101</v>
      </c>
      <c r="E278" s="81">
        <f>($E$268/5280)/E273*60</f>
        <v>11.099431818181818</v>
      </c>
      <c r="F278" s="81">
        <f>($F$268/5280)/F273*60</f>
        <v>7.5</v>
      </c>
      <c r="G278" s="81">
        <f>(G268/5280)/G273*60</f>
        <v>5.6818181818181817</v>
      </c>
      <c r="H278" s="81">
        <f>(H268/5280)/H273*60</f>
        <v>7.5</v>
      </c>
      <c r="I278" s="81">
        <f t="shared" ref="I278:L278" si="120">(I268/5280)/I273*60</f>
        <v>6.25</v>
      </c>
      <c r="J278" s="81">
        <f t="shared" si="120"/>
        <v>1.9886363636363635</v>
      </c>
      <c r="K278" s="81">
        <f t="shared" si="120"/>
        <v>1.9886363636363635</v>
      </c>
      <c r="L278" s="81">
        <f t="shared" si="120"/>
        <v>1.1363636363636365</v>
      </c>
      <c r="M278" s="81">
        <f t="shared" ref="M278" si="121">(M268/5280)/M273*60</f>
        <v>5.3977272727272734</v>
      </c>
      <c r="N278" s="81">
        <f t="shared" ref="N278" si="122">(N268/5280)/N273*60</f>
        <v>4.5454545454545459</v>
      </c>
      <c r="O278" s="81">
        <f t="shared" ref="O278:P278" si="123">(O268/5280)/O273*60</f>
        <v>2.8409090909090908</v>
      </c>
      <c r="P278" s="81">
        <f t="shared" si="123"/>
        <v>2.8409090909090908</v>
      </c>
      <c r="Q278" s="81">
        <f t="shared" ref="Q278" si="124">(Q268/5280)/Q273*60</f>
        <v>0.28409090909090912</v>
      </c>
      <c r="R278" s="81">
        <f t="shared" ref="R278" si="125">(R268/5280)/R273*60</f>
        <v>9.8863636363636367</v>
      </c>
      <c r="S278" s="81">
        <f t="shared" ref="S278:T278" si="126">(S268/5280)/S273*60</f>
        <v>9.8863636363636367</v>
      </c>
      <c r="T278" s="81">
        <f t="shared" si="126"/>
        <v>2.8409090909090908</v>
      </c>
      <c r="U278" s="81">
        <f t="shared" ref="U278" si="127">(U268/5280)/U273*60</f>
        <v>2.8409090909090908</v>
      </c>
    </row>
    <row r="279" spans="1:21" x14ac:dyDescent="0.25">
      <c r="A279" s="445" t="s">
        <v>753</v>
      </c>
      <c r="B279" s="447" t="s">
        <v>749</v>
      </c>
      <c r="C279" s="446">
        <f t="shared" ref="C279:H279" si="128">SUM(C275:C278)</f>
        <v>24.05</v>
      </c>
      <c r="D279" s="446">
        <f t="shared" si="128"/>
        <v>25.640909090909091</v>
      </c>
      <c r="E279" s="446">
        <f t="shared" si="128"/>
        <v>33.648484848484848</v>
      </c>
      <c r="F279" s="446">
        <f t="shared" si="128"/>
        <v>24.05</v>
      </c>
      <c r="G279" s="446">
        <f t="shared" si="128"/>
        <v>19.201515151515153</v>
      </c>
      <c r="H279" s="446">
        <f t="shared" si="128"/>
        <v>24.05</v>
      </c>
      <c r="I279" s="446">
        <f t="shared" ref="I279:N279" si="129">SUM(I275:I278)</f>
        <v>20.716666666666669</v>
      </c>
      <c r="J279" s="446">
        <f t="shared" si="129"/>
        <v>9.3530303030303017</v>
      </c>
      <c r="K279" s="446">
        <f t="shared" si="129"/>
        <v>9.3530303030303017</v>
      </c>
      <c r="L279" s="446">
        <f t="shared" si="129"/>
        <v>7.0803030303030301</v>
      </c>
      <c r="M279" s="446">
        <f t="shared" si="129"/>
        <v>18.443939393939395</v>
      </c>
      <c r="N279" s="446">
        <f t="shared" si="129"/>
        <v>16.171212121212122</v>
      </c>
      <c r="O279" s="446">
        <f t="shared" ref="O279" si="130">SUM(O275:O278)</f>
        <v>11.625757575757575</v>
      </c>
      <c r="P279" s="446">
        <f t="shared" ref="P279:Q279" si="131">SUM(P275:P278)</f>
        <v>11.625757575757575</v>
      </c>
      <c r="Q279" s="446">
        <f t="shared" si="131"/>
        <v>4.6181818181818182</v>
      </c>
      <c r="R279" s="446">
        <f t="shared" ref="R279" si="132">SUM(R275:R278)</f>
        <v>25.872727272727275</v>
      </c>
      <c r="S279" s="446">
        <f t="shared" ref="S279:T279" si="133">SUM(S275:S278)</f>
        <v>30.413636363636364</v>
      </c>
      <c r="T279" s="446">
        <f t="shared" si="133"/>
        <v>11.781818181818181</v>
      </c>
      <c r="U279" s="446">
        <f t="shared" ref="U279" si="134">SUM(U275:U278)</f>
        <v>11.625757575757575</v>
      </c>
    </row>
    <row r="280" spans="1:21" x14ac:dyDescent="0.25">
      <c r="B280" s="1"/>
      <c r="C280"/>
      <c r="D280"/>
      <c r="E280"/>
    </row>
    <row r="281" spans="1:21" x14ac:dyDescent="0.25">
      <c r="A281" s="442" t="s">
        <v>754</v>
      </c>
      <c r="B281" s="167"/>
      <c r="C281" s="81"/>
      <c r="D281" s="81"/>
      <c r="E281" s="81"/>
      <c r="F281" s="81"/>
      <c r="G281" s="81"/>
      <c r="H281" s="81"/>
    </row>
    <row r="282" spans="1:21" x14ac:dyDescent="0.25">
      <c r="A282" s="455" t="s">
        <v>755</v>
      </c>
      <c r="B282" s="441" t="s">
        <v>534</v>
      </c>
      <c r="C282" s="81">
        <v>77</v>
      </c>
      <c r="D282" s="81">
        <v>77</v>
      </c>
      <c r="E282" s="81">
        <v>77</v>
      </c>
      <c r="F282" s="81">
        <v>77</v>
      </c>
      <c r="G282" s="81">
        <v>77</v>
      </c>
      <c r="H282" s="81">
        <v>77</v>
      </c>
      <c r="I282" s="81">
        <v>77</v>
      </c>
      <c r="J282" s="81">
        <v>77</v>
      </c>
      <c r="K282" s="81">
        <v>77</v>
      </c>
      <c r="L282" s="81">
        <v>77</v>
      </c>
      <c r="M282" s="81">
        <v>77</v>
      </c>
      <c r="N282" s="81">
        <v>77</v>
      </c>
      <c r="O282" s="81">
        <v>77</v>
      </c>
      <c r="P282" s="81">
        <v>77</v>
      </c>
      <c r="Q282" s="81">
        <v>31</v>
      </c>
      <c r="R282" s="81">
        <v>31</v>
      </c>
      <c r="S282" s="81">
        <v>77</v>
      </c>
      <c r="T282" s="81">
        <v>31</v>
      </c>
      <c r="U282" s="81">
        <v>77</v>
      </c>
    </row>
    <row r="283" spans="1:21" x14ac:dyDescent="0.25">
      <c r="A283" s="455" t="s">
        <v>756</v>
      </c>
      <c r="B283" s="441" t="s">
        <v>757</v>
      </c>
      <c r="C283" s="81">
        <f t="shared" ref="C283:H283" si="135">C282*(60/C279)</f>
        <v>192.0997920997921</v>
      </c>
      <c r="D283" s="81">
        <f t="shared" si="135"/>
        <v>180.18081900372277</v>
      </c>
      <c r="E283" s="81">
        <f t="shared" si="135"/>
        <v>137.30187319884726</v>
      </c>
      <c r="F283" s="81">
        <f t="shared" si="135"/>
        <v>192.0997920997921</v>
      </c>
      <c r="G283" s="81">
        <f t="shared" si="135"/>
        <v>240.60601278308212</v>
      </c>
      <c r="H283" s="81">
        <f t="shared" si="135"/>
        <v>192.0997920997921</v>
      </c>
      <c r="I283" s="81">
        <f t="shared" ref="I283:N283" si="136">I282*(60/I279)</f>
        <v>223.0088495575221</v>
      </c>
      <c r="J283" s="81">
        <f t="shared" si="136"/>
        <v>493.9575571035154</v>
      </c>
      <c r="K283" s="81">
        <f t="shared" si="136"/>
        <v>493.9575571035154</v>
      </c>
      <c r="L283" s="81">
        <f t="shared" si="136"/>
        <v>652.514444682217</v>
      </c>
      <c r="M283" s="81">
        <f t="shared" si="136"/>
        <v>250.48878665899943</v>
      </c>
      <c r="N283" s="81">
        <f t="shared" si="136"/>
        <v>285.69286985852148</v>
      </c>
      <c r="O283" s="81">
        <f t="shared" ref="O283" si="137">O282*(60/O279)</f>
        <v>397.39345757852215</v>
      </c>
      <c r="P283" s="81">
        <f t="shared" ref="P283:Q283" si="138">P282*(60/P279)</f>
        <v>397.39345757852215</v>
      </c>
      <c r="Q283" s="81">
        <f t="shared" si="138"/>
        <v>402.75590551181102</v>
      </c>
      <c r="R283" s="81">
        <f t="shared" ref="R283" si="139">R282*(60/R279)</f>
        <v>71.890372452564989</v>
      </c>
      <c r="S283" s="81">
        <f t="shared" ref="S283:T283" si="140">S282*(60/S279)</f>
        <v>151.90554476162009</v>
      </c>
      <c r="T283" s="81">
        <f t="shared" si="140"/>
        <v>157.87037037037038</v>
      </c>
      <c r="U283" s="81">
        <f t="shared" ref="U283" si="141">U282*(60/U279)</f>
        <v>397.39345757852215</v>
      </c>
    </row>
    <row r="284" spans="1:21" x14ac:dyDescent="0.25">
      <c r="B284" s="1"/>
      <c r="C284"/>
      <c r="D284"/>
      <c r="E284"/>
    </row>
    <row r="285" spans="1:21" x14ac:dyDescent="0.25">
      <c r="A285" s="222" t="s">
        <v>758</v>
      </c>
      <c r="B285" s="1"/>
      <c r="C285"/>
      <c r="D285"/>
      <c r="E285"/>
    </row>
    <row r="286" spans="1:21" x14ac:dyDescent="0.25">
      <c r="A286" s="455" t="s">
        <v>759</v>
      </c>
      <c r="B286" s="441" t="s">
        <v>534</v>
      </c>
      <c r="C286" s="81">
        <v>15.7</v>
      </c>
      <c r="D286" s="81">
        <v>15.7</v>
      </c>
      <c r="E286" s="81">
        <v>15.7</v>
      </c>
      <c r="F286" s="81">
        <v>15.7</v>
      </c>
      <c r="G286" s="81">
        <v>15.7</v>
      </c>
      <c r="H286" s="81">
        <v>15.7</v>
      </c>
      <c r="I286" s="81">
        <v>15.7</v>
      </c>
      <c r="J286" s="81">
        <v>15.7</v>
      </c>
      <c r="K286" s="81">
        <v>15.7</v>
      </c>
      <c r="L286" s="81">
        <v>15.7</v>
      </c>
      <c r="M286" s="81">
        <v>15.7</v>
      </c>
      <c r="N286" s="81">
        <v>15.7</v>
      </c>
      <c r="O286" s="81">
        <v>15.7</v>
      </c>
      <c r="P286" s="81">
        <v>15.7</v>
      </c>
      <c r="Q286" s="81">
        <v>8</v>
      </c>
      <c r="R286" s="81">
        <v>3.1</v>
      </c>
      <c r="S286" s="81">
        <v>15.7</v>
      </c>
      <c r="T286" s="81">
        <v>3.1</v>
      </c>
      <c r="U286" s="81">
        <v>15.7</v>
      </c>
    </row>
    <row r="287" spans="1:21" x14ac:dyDescent="0.25">
      <c r="A287" s="455" t="s">
        <v>760</v>
      </c>
      <c r="B287" s="441"/>
      <c r="C287" s="5">
        <f t="shared" ref="C287:H287" si="142">ROUNDUP(C282/C286,0)</f>
        <v>5</v>
      </c>
      <c r="D287" s="5">
        <f t="shared" si="142"/>
        <v>5</v>
      </c>
      <c r="E287" s="5">
        <f t="shared" si="142"/>
        <v>5</v>
      </c>
      <c r="F287" s="5">
        <f t="shared" si="142"/>
        <v>5</v>
      </c>
      <c r="G287" s="5">
        <f t="shared" si="142"/>
        <v>5</v>
      </c>
      <c r="H287" s="5">
        <f t="shared" si="142"/>
        <v>5</v>
      </c>
      <c r="I287" s="5">
        <f t="shared" ref="I287:N287" si="143">ROUNDUP(I282/I286,0)</f>
        <v>5</v>
      </c>
      <c r="J287" s="5">
        <f t="shared" si="143"/>
        <v>5</v>
      </c>
      <c r="K287" s="5">
        <f t="shared" si="143"/>
        <v>5</v>
      </c>
      <c r="L287" s="5">
        <f t="shared" si="143"/>
        <v>5</v>
      </c>
      <c r="M287" s="5">
        <f t="shared" si="143"/>
        <v>5</v>
      </c>
      <c r="N287" s="5">
        <f t="shared" si="143"/>
        <v>5</v>
      </c>
      <c r="O287" s="5">
        <f t="shared" ref="O287" si="144">ROUNDUP(O282/O286,0)</f>
        <v>5</v>
      </c>
      <c r="P287" s="5">
        <f t="shared" ref="P287:Q287" si="145">ROUNDUP(P282/P286,0)</f>
        <v>5</v>
      </c>
      <c r="Q287" s="5">
        <f t="shared" si="145"/>
        <v>4</v>
      </c>
      <c r="R287" s="5">
        <f t="shared" ref="R287" si="146">ROUNDUP(R282/R286,0)</f>
        <v>10</v>
      </c>
      <c r="S287" s="5">
        <f t="shared" ref="S287:T287" si="147">ROUNDUP(S282/S286,0)</f>
        <v>5</v>
      </c>
      <c r="T287" s="5">
        <f t="shared" si="147"/>
        <v>10</v>
      </c>
      <c r="U287" s="5">
        <f t="shared" ref="U287" si="148">ROUNDUP(U282/U286,0)</f>
        <v>5</v>
      </c>
    </row>
    <row r="288" spans="1:21" x14ac:dyDescent="0.25">
      <c r="A288" s="455" t="s">
        <v>758</v>
      </c>
      <c r="B288" s="441" t="s">
        <v>749</v>
      </c>
      <c r="C288" s="81">
        <v>0.7</v>
      </c>
      <c r="D288" s="81">
        <v>0.7</v>
      </c>
      <c r="E288" s="81">
        <v>0.7</v>
      </c>
      <c r="F288" s="81">
        <v>0.7</v>
      </c>
      <c r="G288" s="81">
        <v>0.7</v>
      </c>
      <c r="H288" s="81">
        <v>0.7</v>
      </c>
      <c r="I288" s="81">
        <v>0.7</v>
      </c>
      <c r="J288" s="81">
        <v>0.7</v>
      </c>
      <c r="K288" s="81">
        <v>0.7</v>
      </c>
      <c r="L288" s="81">
        <v>0.7</v>
      </c>
      <c r="M288" s="81">
        <v>0.7</v>
      </c>
      <c r="N288" s="81">
        <v>0.7</v>
      </c>
      <c r="O288" s="81">
        <v>0.7</v>
      </c>
      <c r="P288" s="81">
        <v>0.7</v>
      </c>
      <c r="Q288" s="81">
        <v>0.7</v>
      </c>
      <c r="R288" s="81">
        <v>0.7</v>
      </c>
      <c r="S288" s="81">
        <v>0.7</v>
      </c>
      <c r="T288" s="81">
        <v>0.7</v>
      </c>
      <c r="U288" s="81">
        <v>0.7</v>
      </c>
    </row>
    <row r="289" spans="1:21" x14ac:dyDescent="0.25">
      <c r="A289" s="455" t="s">
        <v>761</v>
      </c>
      <c r="B289" s="441" t="s">
        <v>749</v>
      </c>
      <c r="C289" s="81">
        <f t="shared" ref="C289:H289" si="149">C288*C287</f>
        <v>3.5</v>
      </c>
      <c r="D289" s="81">
        <f t="shared" si="149"/>
        <v>3.5</v>
      </c>
      <c r="E289" s="81">
        <f t="shared" si="149"/>
        <v>3.5</v>
      </c>
      <c r="F289" s="81">
        <f t="shared" si="149"/>
        <v>3.5</v>
      </c>
      <c r="G289" s="81">
        <f t="shared" si="149"/>
        <v>3.5</v>
      </c>
      <c r="H289" s="81">
        <f t="shared" si="149"/>
        <v>3.5</v>
      </c>
      <c r="I289" s="81">
        <f t="shared" ref="I289:N289" si="150">I288*I287</f>
        <v>3.5</v>
      </c>
      <c r="J289" s="81">
        <f t="shared" si="150"/>
        <v>3.5</v>
      </c>
      <c r="K289" s="81">
        <f t="shared" si="150"/>
        <v>3.5</v>
      </c>
      <c r="L289" s="81">
        <f t="shared" si="150"/>
        <v>3.5</v>
      </c>
      <c r="M289" s="81">
        <f t="shared" si="150"/>
        <v>3.5</v>
      </c>
      <c r="N289" s="81">
        <f t="shared" si="150"/>
        <v>3.5</v>
      </c>
      <c r="O289" s="81">
        <f t="shared" ref="O289" si="151">O288*O287</f>
        <v>3.5</v>
      </c>
      <c r="P289" s="81">
        <f t="shared" ref="P289:Q289" si="152">P288*P287</f>
        <v>3.5</v>
      </c>
      <c r="Q289" s="81">
        <f t="shared" si="152"/>
        <v>2.8</v>
      </c>
      <c r="R289" s="81">
        <f t="shared" ref="R289" si="153">R288*R287</f>
        <v>7</v>
      </c>
      <c r="S289" s="81">
        <f t="shared" ref="S289:T289" si="154">S288*S287</f>
        <v>3.5</v>
      </c>
      <c r="T289" s="81">
        <f t="shared" si="154"/>
        <v>7</v>
      </c>
      <c r="U289" s="81">
        <f t="shared" ref="U289" si="155">U288*U287</f>
        <v>3.5</v>
      </c>
    </row>
    <row r="290" spans="1:21" x14ac:dyDescent="0.25">
      <c r="A290" s="455" t="s">
        <v>762</v>
      </c>
      <c r="B290" s="441" t="s">
        <v>763</v>
      </c>
      <c r="C290" s="5">
        <f t="shared" ref="C290:H290" si="156">ROUNDUP(C279/C289,0)</f>
        <v>7</v>
      </c>
      <c r="D290" s="5">
        <f t="shared" si="156"/>
        <v>8</v>
      </c>
      <c r="E290" s="5">
        <f t="shared" si="156"/>
        <v>10</v>
      </c>
      <c r="F290" s="5">
        <f t="shared" si="156"/>
        <v>7</v>
      </c>
      <c r="G290" s="5">
        <f t="shared" si="156"/>
        <v>6</v>
      </c>
      <c r="H290" s="5">
        <f t="shared" si="156"/>
        <v>7</v>
      </c>
      <c r="I290" s="5">
        <f t="shared" ref="I290:N290" si="157">ROUNDUP(I279/I289,0)</f>
        <v>6</v>
      </c>
      <c r="J290" s="5">
        <f t="shared" si="157"/>
        <v>3</v>
      </c>
      <c r="K290" s="5">
        <f t="shared" si="157"/>
        <v>3</v>
      </c>
      <c r="L290" s="5">
        <f t="shared" si="157"/>
        <v>3</v>
      </c>
      <c r="M290" s="5">
        <f t="shared" si="157"/>
        <v>6</v>
      </c>
      <c r="N290" s="5">
        <f t="shared" si="157"/>
        <v>5</v>
      </c>
      <c r="O290" s="5">
        <f t="shared" ref="O290" si="158">ROUNDUP(O279/O289,0)</f>
        <v>4</v>
      </c>
      <c r="P290" s="5">
        <f t="shared" ref="P290:Q290" si="159">ROUNDUP(P279/P289,0)</f>
        <v>4</v>
      </c>
      <c r="Q290" s="5">
        <f t="shared" si="159"/>
        <v>2</v>
      </c>
      <c r="R290" s="5">
        <f t="shared" ref="R290" si="160">ROUNDUP(R279/R289,0)</f>
        <v>4</v>
      </c>
      <c r="S290" s="5">
        <f t="shared" ref="S290:T290" si="161">ROUNDUP(S279/S289,0)</f>
        <v>9</v>
      </c>
      <c r="T290" s="5">
        <f t="shared" si="161"/>
        <v>2</v>
      </c>
      <c r="U290" s="5">
        <f t="shared" ref="U290" si="162">ROUNDUP(U279/U289,0)</f>
        <v>4</v>
      </c>
    </row>
    <row r="291" spans="1:21" x14ac:dyDescent="0.25">
      <c r="A291" s="455" t="s">
        <v>764</v>
      </c>
      <c r="B291" s="441" t="s">
        <v>763</v>
      </c>
      <c r="C291" s="5">
        <v>7</v>
      </c>
      <c r="D291" s="5">
        <v>7</v>
      </c>
      <c r="E291" s="5">
        <v>10</v>
      </c>
      <c r="F291" s="5">
        <v>7</v>
      </c>
      <c r="G291" s="5">
        <v>7</v>
      </c>
      <c r="H291" s="5">
        <v>7</v>
      </c>
      <c r="I291" s="5">
        <v>6</v>
      </c>
      <c r="J291" s="5">
        <v>3</v>
      </c>
      <c r="K291" s="5">
        <v>3</v>
      </c>
      <c r="L291" s="5">
        <v>2</v>
      </c>
      <c r="M291" s="5">
        <v>5</v>
      </c>
      <c r="N291" s="5">
        <v>5</v>
      </c>
      <c r="O291" s="5">
        <v>3</v>
      </c>
      <c r="P291" s="5">
        <v>3</v>
      </c>
      <c r="Q291" s="5">
        <v>1</v>
      </c>
      <c r="R291" s="5">
        <v>2</v>
      </c>
      <c r="S291" s="5">
        <v>7</v>
      </c>
      <c r="T291" s="5">
        <v>2</v>
      </c>
      <c r="U291" s="5">
        <v>2</v>
      </c>
    </row>
    <row r="292" spans="1:21" x14ac:dyDescent="0.25">
      <c r="B292" s="441"/>
      <c r="C292" s="81"/>
      <c r="D292" s="81"/>
      <c r="E292" s="81"/>
      <c r="F292" s="81"/>
      <c r="G292" s="81"/>
      <c r="H292" s="81"/>
    </row>
    <row r="293" spans="1:21" x14ac:dyDescent="0.25">
      <c r="A293" s="448" t="s">
        <v>765</v>
      </c>
      <c r="B293" s="447"/>
      <c r="C293" s="446"/>
      <c r="D293" s="446"/>
      <c r="E293" s="446"/>
      <c r="F293" s="446"/>
      <c r="G293" s="446"/>
      <c r="H293" s="446"/>
    </row>
    <row r="294" spans="1:21" x14ac:dyDescent="0.25">
      <c r="A294" s="445" t="s">
        <v>766</v>
      </c>
      <c r="B294" s="447" t="s">
        <v>614</v>
      </c>
      <c r="C294" s="343">
        <f t="shared" ref="C294:H294" si="163">(C291*C282)/C279*60</f>
        <v>1344.6985446985448</v>
      </c>
      <c r="D294" s="343">
        <f t="shared" si="163"/>
        <v>1261.2657330260593</v>
      </c>
      <c r="E294" s="343">
        <f t="shared" si="163"/>
        <v>1373.0187319884726</v>
      </c>
      <c r="F294" s="343">
        <f>(F291*F282)/F279*60</f>
        <v>1344.6985446985448</v>
      </c>
      <c r="G294" s="343">
        <f t="shared" si="163"/>
        <v>1684.242089481575</v>
      </c>
      <c r="H294" s="343">
        <f t="shared" si="163"/>
        <v>1344.6985446985448</v>
      </c>
      <c r="I294" s="343">
        <f t="shared" ref="I294:L294" si="164">(I291*I282)/I279*60</f>
        <v>1338.0530973451325</v>
      </c>
      <c r="J294" s="343">
        <f t="shared" si="164"/>
        <v>1481.8726713105461</v>
      </c>
      <c r="K294" s="343">
        <f t="shared" si="164"/>
        <v>1481.8726713105461</v>
      </c>
      <c r="L294" s="343">
        <f t="shared" si="164"/>
        <v>1305.0288893644342</v>
      </c>
      <c r="M294" s="343">
        <f t="shared" ref="M294" si="165">(M291*M282)/M279*60</f>
        <v>1252.4439332949969</v>
      </c>
      <c r="N294" s="343">
        <f t="shared" ref="N294" si="166">(N291*N282)/N279*60</f>
        <v>1428.4643492926075</v>
      </c>
      <c r="O294" s="343">
        <f t="shared" ref="O294:P294" si="167">(O291*O282)/O279*60</f>
        <v>1192.1803727355664</v>
      </c>
      <c r="P294" s="343">
        <f t="shared" si="167"/>
        <v>1192.1803727355664</v>
      </c>
      <c r="Q294" s="343">
        <f t="shared" ref="Q294" si="168">(Q291*Q282)/Q279*60</f>
        <v>402.75590551181102</v>
      </c>
      <c r="R294" s="343">
        <f t="shared" ref="R294" si="169">(R291*R282)/R279*60</f>
        <v>143.78074490513001</v>
      </c>
      <c r="S294" s="343">
        <f t="shared" ref="S294:T294" si="170">(S291*S282)/S279*60</f>
        <v>1063.3388133313406</v>
      </c>
      <c r="T294" s="343">
        <f t="shared" si="170"/>
        <v>315.74074074074076</v>
      </c>
      <c r="U294" s="343">
        <f t="shared" ref="U294" si="171">(U291*U282)/U279*60</f>
        <v>794.78691515704429</v>
      </c>
    </row>
    <row r="295" spans="1:21" x14ac:dyDescent="0.25">
      <c r="A295" s="455"/>
      <c r="B295" s="81"/>
      <c r="C295" s="82"/>
      <c r="E295"/>
      <c r="F295" s="82"/>
      <c r="G295" s="82"/>
      <c r="H295" s="82"/>
    </row>
    <row r="296" spans="1:21" s="89" customFormat="1" x14ac:dyDescent="0.25">
      <c r="A296" s="450" t="s">
        <v>767</v>
      </c>
      <c r="C296" s="705">
        <f>SUM(C297:C298)</f>
        <v>2475.59</v>
      </c>
      <c r="D296" s="705">
        <f>SUM(D297:D299)</f>
        <v>2475.59</v>
      </c>
      <c r="E296" s="705">
        <f>SUM(E297:E299)</f>
        <v>3226.34</v>
      </c>
      <c r="F296" s="705">
        <f>SUM(F297:F303)</f>
        <v>3455.24</v>
      </c>
      <c r="G296" s="705">
        <f>SUM(G297:G303)</f>
        <v>2904.23</v>
      </c>
      <c r="H296" s="705">
        <f t="shared" ref="H296:M296" si="172">SUM(H297:H299)</f>
        <v>2475.59</v>
      </c>
      <c r="I296" s="705">
        <f t="shared" si="172"/>
        <v>2225.34</v>
      </c>
      <c r="J296" s="705">
        <f t="shared" si="172"/>
        <v>1474.5900000000001</v>
      </c>
      <c r="K296" s="705">
        <f t="shared" si="172"/>
        <v>1474.5900000000001</v>
      </c>
      <c r="L296" s="705">
        <f t="shared" si="172"/>
        <v>1224.3400000000001</v>
      </c>
      <c r="M296" s="705">
        <f t="shared" si="172"/>
        <v>1975.0900000000001</v>
      </c>
      <c r="N296" s="705">
        <f>SUM(N297:N298)</f>
        <v>1975.0900000000001</v>
      </c>
      <c r="O296" s="705">
        <f>SUM(O297:O299)</f>
        <v>1474.5900000000001</v>
      </c>
      <c r="P296" s="705">
        <f>SUM(P297:P299)</f>
        <v>1474.5900000000001</v>
      </c>
      <c r="Q296" s="705">
        <f>SUM(Q301:Q303)</f>
        <v>299.17</v>
      </c>
      <c r="R296" s="705">
        <f>SUM(R297:R304)</f>
        <v>356.3</v>
      </c>
      <c r="S296" s="705">
        <f>SUM(S297:S304)</f>
        <v>2475.59</v>
      </c>
      <c r="T296" s="705">
        <f>SUM(T297:T304)</f>
        <v>356.3</v>
      </c>
      <c r="U296" s="705">
        <f>SUM(U297:U304)</f>
        <v>1224.3400000000001</v>
      </c>
    </row>
    <row r="297" spans="1:21" x14ac:dyDescent="0.25">
      <c r="A297" t="s">
        <v>768</v>
      </c>
      <c r="B297" s="33">
        <f>'Equipment Rates 2025'!E41+'Labor Rates 2025'!E13</f>
        <v>723.84</v>
      </c>
      <c r="C297" s="872">
        <f>$B$297</f>
        <v>723.84</v>
      </c>
      <c r="D297" s="872">
        <f t="shared" ref="D297:E297" si="173">$B$297</f>
        <v>723.84</v>
      </c>
      <c r="E297" s="872">
        <f t="shared" si="173"/>
        <v>723.84</v>
      </c>
      <c r="F297" s="872">
        <f>$B$297</f>
        <v>723.84</v>
      </c>
      <c r="G297" s="872">
        <f>$B$297</f>
        <v>723.84</v>
      </c>
      <c r="H297" s="872">
        <f>$B$297</f>
        <v>723.84</v>
      </c>
      <c r="I297" s="872">
        <f t="shared" ref="I297:P297" si="174">$B$297</f>
        <v>723.84</v>
      </c>
      <c r="J297" s="872">
        <f t="shared" si="174"/>
        <v>723.84</v>
      </c>
      <c r="K297" s="872">
        <f t="shared" si="174"/>
        <v>723.84</v>
      </c>
      <c r="L297" s="872">
        <f t="shared" si="174"/>
        <v>723.84</v>
      </c>
      <c r="M297" s="872">
        <f t="shared" si="174"/>
        <v>723.84</v>
      </c>
      <c r="N297" s="872">
        <f t="shared" si="174"/>
        <v>723.84</v>
      </c>
      <c r="O297" s="872">
        <f t="shared" si="174"/>
        <v>723.84</v>
      </c>
      <c r="P297" s="872">
        <f t="shared" si="174"/>
        <v>723.84</v>
      </c>
      <c r="Q297" s="872"/>
      <c r="R297" s="872"/>
      <c r="S297" s="872">
        <f t="shared" ref="S297:U297" si="175">$B$297</f>
        <v>723.84</v>
      </c>
      <c r="T297" s="872"/>
      <c r="U297" s="872">
        <f t="shared" si="175"/>
        <v>723.84</v>
      </c>
    </row>
    <row r="298" spans="1:21" x14ac:dyDescent="0.25">
      <c r="A298" t="s">
        <v>769</v>
      </c>
      <c r="B298" s="33">
        <f>'Equipment Rates 2025'!E57+'Labor Rates 2025'!E13</f>
        <v>250.25</v>
      </c>
      <c r="C298" s="872">
        <f>$B$298*C291</f>
        <v>1751.75</v>
      </c>
      <c r="D298" s="872">
        <f t="shared" ref="D298:E298" si="176">$B$298*D291</f>
        <v>1751.75</v>
      </c>
      <c r="E298" s="872">
        <f t="shared" si="176"/>
        <v>2502.5</v>
      </c>
      <c r="F298" s="872">
        <f>$B$298*F291</f>
        <v>1751.75</v>
      </c>
      <c r="G298" s="872">
        <f>$B$298*G291</f>
        <v>1751.75</v>
      </c>
      <c r="H298" s="872">
        <f>$B$298*H291</f>
        <v>1751.75</v>
      </c>
      <c r="I298" s="872">
        <f t="shared" ref="I298:L298" si="177">$B$298*I291</f>
        <v>1501.5</v>
      </c>
      <c r="J298" s="872">
        <f t="shared" si="177"/>
        <v>750.75</v>
      </c>
      <c r="K298" s="872">
        <f t="shared" si="177"/>
        <v>750.75</v>
      </c>
      <c r="L298" s="872">
        <f t="shared" si="177"/>
        <v>500.5</v>
      </c>
      <c r="M298" s="872">
        <f t="shared" ref="M298" si="178">$B$298*M291</f>
        <v>1251.25</v>
      </c>
      <c r="N298" s="872">
        <f t="shared" ref="N298" si="179">$B$298*N291</f>
        <v>1251.25</v>
      </c>
      <c r="O298" s="872">
        <f t="shared" ref="O298:P298" si="180">$B$298*O291</f>
        <v>750.75</v>
      </c>
      <c r="P298" s="872">
        <f t="shared" si="180"/>
        <v>750.75</v>
      </c>
      <c r="Q298" s="872"/>
      <c r="R298" s="872"/>
      <c r="S298" s="872">
        <f>$B$298*S291</f>
        <v>1751.75</v>
      </c>
      <c r="T298" s="872"/>
      <c r="U298" s="872">
        <f>$B$298*U291</f>
        <v>500.5</v>
      </c>
    </row>
    <row r="299" spans="1:21" x14ac:dyDescent="0.25">
      <c r="A299" t="s">
        <v>1948</v>
      </c>
      <c r="B299" s="372"/>
      <c r="C299" s="872">
        <f>$B$299</f>
        <v>0</v>
      </c>
      <c r="D299" s="872">
        <f t="shared" ref="D299:E299" si="181">$B$299</f>
        <v>0</v>
      </c>
      <c r="E299" s="872">
        <f t="shared" si="181"/>
        <v>0</v>
      </c>
      <c r="F299" s="872">
        <f t="shared" ref="F299:R299" si="182">$B$299</f>
        <v>0</v>
      </c>
      <c r="G299" s="872">
        <f t="shared" si="182"/>
        <v>0</v>
      </c>
      <c r="H299" s="872">
        <f t="shared" si="182"/>
        <v>0</v>
      </c>
      <c r="I299" s="872">
        <f t="shared" si="182"/>
        <v>0</v>
      </c>
      <c r="J299" s="872">
        <f t="shared" si="182"/>
        <v>0</v>
      </c>
      <c r="K299" s="872">
        <f t="shared" si="182"/>
        <v>0</v>
      </c>
      <c r="L299" s="872">
        <f t="shared" si="182"/>
        <v>0</v>
      </c>
      <c r="M299" s="872">
        <f t="shared" si="182"/>
        <v>0</v>
      </c>
      <c r="N299" s="872">
        <f t="shared" si="182"/>
        <v>0</v>
      </c>
      <c r="O299" s="872">
        <f t="shared" si="182"/>
        <v>0</v>
      </c>
      <c r="P299" s="872">
        <f t="shared" si="182"/>
        <v>0</v>
      </c>
      <c r="Q299" s="872">
        <f t="shared" si="182"/>
        <v>0</v>
      </c>
      <c r="R299" s="872">
        <f t="shared" si="182"/>
        <v>0</v>
      </c>
      <c r="S299" s="872"/>
      <c r="T299" s="872">
        <f>$B$299</f>
        <v>0</v>
      </c>
    </row>
    <row r="300" spans="1:21" x14ac:dyDescent="0.25">
      <c r="A300" t="s">
        <v>770</v>
      </c>
      <c r="B300" s="372">
        <f>'Equipment Rates 2025'!E9+'Labor Rates 2025'!E12</f>
        <v>214.32</v>
      </c>
      <c r="C300" s="619">
        <v>0</v>
      </c>
      <c r="D300" s="619">
        <v>0</v>
      </c>
      <c r="E300" s="619">
        <v>0</v>
      </c>
      <c r="F300" s="872">
        <f t="shared" ref="F300:G300" si="183">$B$300*2</f>
        <v>428.64</v>
      </c>
      <c r="G300" s="872">
        <f t="shared" si="183"/>
        <v>428.64</v>
      </c>
      <c r="H300" s="619">
        <v>0</v>
      </c>
      <c r="I300" s="619">
        <v>0</v>
      </c>
      <c r="J300" s="619">
        <v>0</v>
      </c>
      <c r="K300" s="619">
        <v>0</v>
      </c>
      <c r="L300" s="619">
        <v>0</v>
      </c>
      <c r="M300" s="619">
        <v>0</v>
      </c>
      <c r="N300" s="619">
        <v>0</v>
      </c>
      <c r="O300" s="619">
        <v>0</v>
      </c>
      <c r="P300" s="619">
        <v>0</v>
      </c>
      <c r="Q300" s="619">
        <v>0</v>
      </c>
      <c r="R300" s="619">
        <v>0</v>
      </c>
      <c r="S300" s="872"/>
      <c r="T300" s="872">
        <v>0</v>
      </c>
    </row>
    <row r="301" spans="1:21" x14ac:dyDescent="0.25">
      <c r="A301" t="s">
        <v>1949</v>
      </c>
      <c r="B301" s="372"/>
      <c r="C301" s="872">
        <f>$B$301</f>
        <v>0</v>
      </c>
      <c r="D301" s="872">
        <f t="shared" ref="D301:E301" si="184">$B$301</f>
        <v>0</v>
      </c>
      <c r="E301" s="872">
        <f t="shared" si="184"/>
        <v>0</v>
      </c>
      <c r="F301" s="872">
        <f t="shared" ref="F301:R301" si="185">$B$301</f>
        <v>0</v>
      </c>
      <c r="G301" s="872">
        <f t="shared" si="185"/>
        <v>0</v>
      </c>
      <c r="H301" s="872">
        <f t="shared" si="185"/>
        <v>0</v>
      </c>
      <c r="I301" s="872">
        <f t="shared" si="185"/>
        <v>0</v>
      </c>
      <c r="J301" s="872">
        <f t="shared" si="185"/>
        <v>0</v>
      </c>
      <c r="K301" s="872">
        <f t="shared" si="185"/>
        <v>0</v>
      </c>
      <c r="L301" s="872">
        <f t="shared" si="185"/>
        <v>0</v>
      </c>
      <c r="M301" s="872">
        <f t="shared" si="185"/>
        <v>0</v>
      </c>
      <c r="N301" s="872">
        <f t="shared" si="185"/>
        <v>0</v>
      </c>
      <c r="O301" s="872">
        <f t="shared" si="185"/>
        <v>0</v>
      </c>
      <c r="P301" s="872">
        <f t="shared" si="185"/>
        <v>0</v>
      </c>
      <c r="Q301" s="872">
        <f t="shared" si="185"/>
        <v>0</v>
      </c>
      <c r="R301" s="872">
        <f t="shared" si="185"/>
        <v>0</v>
      </c>
      <c r="S301" s="872"/>
      <c r="T301" s="872">
        <f>$B$301</f>
        <v>0</v>
      </c>
    </row>
    <row r="302" spans="1:21" x14ac:dyDescent="0.25">
      <c r="A302" t="s">
        <v>772</v>
      </c>
      <c r="B302" s="33">
        <f>'Equipment Rates 2025'!$E$27+'Labor Rates 2025'!$E$12</f>
        <v>173.25</v>
      </c>
      <c r="C302" s="872"/>
      <c r="D302" s="872"/>
      <c r="E302" s="872"/>
      <c r="F302" s="872">
        <f>$B$302</f>
        <v>173.25</v>
      </c>
      <c r="G302" s="872"/>
      <c r="H302" s="872"/>
      <c r="Q302" s="872">
        <f>$B$302</f>
        <v>173.25</v>
      </c>
    </row>
    <row r="303" spans="1:21" x14ac:dyDescent="0.25">
      <c r="A303" t="s">
        <v>773</v>
      </c>
      <c r="B303" s="33">
        <f>'Equipment Rates 2025'!$E$50+'Labor Rates 2025'!$E$12</f>
        <v>125.92</v>
      </c>
      <c r="C303" s="872"/>
      <c r="D303" s="872"/>
      <c r="E303" s="872"/>
      <c r="F303" s="872">
        <f>$B$303*3</f>
        <v>377.76</v>
      </c>
      <c r="G303" s="872"/>
      <c r="H303" s="872"/>
      <c r="Q303" s="872">
        <f>$B$303</f>
        <v>125.92</v>
      </c>
      <c r="R303" s="872">
        <f>$B$303</f>
        <v>125.92</v>
      </c>
      <c r="S303" s="872"/>
      <c r="T303" s="872">
        <f>$B$303</f>
        <v>125.92</v>
      </c>
    </row>
    <row r="304" spans="1:21" x14ac:dyDescent="0.25">
      <c r="A304" t="s">
        <v>2105</v>
      </c>
      <c r="B304" s="33">
        <f>'Equipment Rates 2025'!E18+'Labor Rates 2025'!E12</f>
        <v>230.38</v>
      </c>
      <c r="C304" s="872"/>
      <c r="D304" s="872"/>
      <c r="E304" s="872"/>
      <c r="R304" s="872">
        <f>$B$304</f>
        <v>230.38</v>
      </c>
      <c r="S304" s="872"/>
      <c r="T304" s="872">
        <f>$B$304</f>
        <v>230.38</v>
      </c>
    </row>
    <row r="305" spans="1:20" x14ac:dyDescent="0.25">
      <c r="B305" s="33"/>
      <c r="C305" s="872"/>
      <c r="D305" s="872"/>
      <c r="E305" s="872"/>
    </row>
    <row r="306" spans="1:20" x14ac:dyDescent="0.25">
      <c r="B306" s="33"/>
      <c r="C306" s="872"/>
      <c r="D306" s="872"/>
      <c r="E306" s="872"/>
      <c r="R306" s="73" t="s">
        <v>2109</v>
      </c>
      <c r="T306" t="s">
        <v>2109</v>
      </c>
    </row>
    <row r="307" spans="1:20" x14ac:dyDescent="0.25">
      <c r="E307"/>
    </row>
    <row r="308" spans="1:20" x14ac:dyDescent="0.25">
      <c r="E308"/>
    </row>
    <row r="309" spans="1:20" x14ac:dyDescent="0.25">
      <c r="A309" s="965" t="s">
        <v>774</v>
      </c>
      <c r="B309" s="965"/>
      <c r="C309" s="965"/>
      <c r="E309"/>
    </row>
    <row r="310" spans="1:20" x14ac:dyDescent="0.25">
      <c r="C310" s="441"/>
      <c r="E310"/>
    </row>
    <row r="311" spans="1:20" x14ac:dyDescent="0.25">
      <c r="C311" s="77" t="s">
        <v>735</v>
      </c>
      <c r="D311" s="77" t="s">
        <v>775</v>
      </c>
      <c r="E311" s="73" t="s">
        <v>1769</v>
      </c>
      <c r="F311" s="73"/>
    </row>
    <row r="312" spans="1:20" x14ac:dyDescent="0.25">
      <c r="A312" t="s">
        <v>743</v>
      </c>
      <c r="B312" s="441" t="s">
        <v>776</v>
      </c>
      <c r="C312" s="487">
        <v>7920</v>
      </c>
      <c r="D312" s="487">
        <v>10560</v>
      </c>
      <c r="E312" s="487">
        <v>1000</v>
      </c>
      <c r="F312" s="73"/>
    </row>
    <row r="313" spans="1:20" x14ac:dyDescent="0.25">
      <c r="B313" s="441"/>
      <c r="C313"/>
      <c r="E313"/>
    </row>
    <row r="314" spans="1:20" x14ac:dyDescent="0.25">
      <c r="B314" s="441"/>
      <c r="C314"/>
      <c r="E314"/>
    </row>
    <row r="315" spans="1:20" x14ac:dyDescent="0.25">
      <c r="A315" s="442" t="s">
        <v>745</v>
      </c>
      <c r="B315" s="441"/>
      <c r="C315"/>
      <c r="E315"/>
    </row>
    <row r="316" spans="1:20" x14ac:dyDescent="0.25">
      <c r="A316" s="443" t="s">
        <v>777</v>
      </c>
      <c r="B316" s="444" t="s">
        <v>710</v>
      </c>
      <c r="C316" s="21">
        <v>20</v>
      </c>
      <c r="D316" s="21">
        <v>20</v>
      </c>
      <c r="E316" s="21">
        <v>20</v>
      </c>
    </row>
    <row r="317" spans="1:20" x14ac:dyDescent="0.25">
      <c r="A317" s="443" t="s">
        <v>778</v>
      </c>
      <c r="B317" s="444" t="s">
        <v>710</v>
      </c>
      <c r="C317" s="21">
        <v>20</v>
      </c>
      <c r="D317" s="21">
        <v>20</v>
      </c>
      <c r="E317" s="21">
        <v>20</v>
      </c>
    </row>
    <row r="318" spans="1:20" x14ac:dyDescent="0.25">
      <c r="A318" s="167"/>
      <c r="B318" s="441"/>
      <c r="C318"/>
      <c r="D318"/>
      <c r="E318"/>
    </row>
    <row r="319" spans="1:20" x14ac:dyDescent="0.25">
      <c r="A319" s="455" t="s">
        <v>748</v>
      </c>
      <c r="B319" s="441" t="s">
        <v>749</v>
      </c>
      <c r="C319">
        <v>2.4500000000000002</v>
      </c>
      <c r="D319">
        <v>2.4500000000000002</v>
      </c>
      <c r="E319">
        <v>2.4500000000000002</v>
      </c>
    </row>
    <row r="320" spans="1:20" x14ac:dyDescent="0.25">
      <c r="A320" s="455" t="s">
        <v>750</v>
      </c>
      <c r="B320" s="441" t="s">
        <v>749</v>
      </c>
      <c r="C320" s="81">
        <f>($C$312/5280)/C316*60</f>
        <v>4.5</v>
      </c>
      <c r="D320" s="81">
        <f>($D$312/5280)/D316*60</f>
        <v>6</v>
      </c>
      <c r="E320" s="81">
        <f>($E$312/5280)/E316*60</f>
        <v>0.56818181818181823</v>
      </c>
    </row>
    <row r="321" spans="1:6" x14ac:dyDescent="0.25">
      <c r="A321" s="455" t="s">
        <v>751</v>
      </c>
      <c r="B321" s="441" t="s">
        <v>749</v>
      </c>
      <c r="C321" s="81">
        <v>1.6</v>
      </c>
      <c r="D321" s="81">
        <v>1.6</v>
      </c>
      <c r="E321" s="81">
        <v>1.6</v>
      </c>
    </row>
    <row r="322" spans="1:6" x14ac:dyDescent="0.25">
      <c r="A322" s="455" t="s">
        <v>752</v>
      </c>
      <c r="B322" s="441" t="s">
        <v>749</v>
      </c>
      <c r="C322" s="81">
        <f>($C$312/5280)/C317*60</f>
        <v>4.5</v>
      </c>
      <c r="D322" s="81">
        <f>($D$312/5280)/D317*60</f>
        <v>6</v>
      </c>
      <c r="E322" s="81">
        <f>($E$312/5280)/E317*60</f>
        <v>0.56818181818181823</v>
      </c>
    </row>
    <row r="323" spans="1:6" x14ac:dyDescent="0.25">
      <c r="A323" s="445" t="s">
        <v>779</v>
      </c>
      <c r="B323" s="447" t="s">
        <v>749</v>
      </c>
      <c r="C323" s="446">
        <f>SUM(C319:C322)</f>
        <v>13.05</v>
      </c>
      <c r="D323" s="446">
        <f>SUM(D319:D322)</f>
        <v>16.049999999999997</v>
      </c>
      <c r="E323" s="446">
        <f>SUM(E319:E322)</f>
        <v>5.1863636363636374</v>
      </c>
    </row>
    <row r="324" spans="1:6" x14ac:dyDescent="0.25">
      <c r="B324" s="1"/>
      <c r="C324"/>
      <c r="D324"/>
      <c r="E324"/>
    </row>
    <row r="325" spans="1:6" x14ac:dyDescent="0.25">
      <c r="A325" s="442" t="s">
        <v>754</v>
      </c>
      <c r="B325" s="167"/>
      <c r="C325" s="81"/>
      <c r="D325" s="81"/>
      <c r="E325" s="81"/>
    </row>
    <row r="326" spans="1:6" x14ac:dyDescent="0.25">
      <c r="A326" s="455" t="s">
        <v>780</v>
      </c>
      <c r="B326" s="441" t="s">
        <v>534</v>
      </c>
      <c r="C326" s="81">
        <v>31</v>
      </c>
      <c r="D326" s="81">
        <v>31</v>
      </c>
      <c r="E326" s="81">
        <f>31*0.75</f>
        <v>23.25</v>
      </c>
      <c r="F326" t="s">
        <v>1770</v>
      </c>
    </row>
    <row r="327" spans="1:6" x14ac:dyDescent="0.25">
      <c r="A327" s="455" t="s">
        <v>756</v>
      </c>
      <c r="B327" s="441" t="s">
        <v>757</v>
      </c>
      <c r="C327" s="81">
        <f>C326*(60/C323)</f>
        <v>142.5287356321839</v>
      </c>
      <c r="D327" s="81">
        <f>D326*(60/D323)</f>
        <v>115.88785046728975</v>
      </c>
      <c r="E327" s="81">
        <f>E326*(60/E323)</f>
        <v>268.97458369851006</v>
      </c>
    </row>
    <row r="328" spans="1:6" x14ac:dyDescent="0.25">
      <c r="B328" s="1"/>
      <c r="C328"/>
      <c r="D328"/>
      <c r="E328"/>
    </row>
    <row r="329" spans="1:6" x14ac:dyDescent="0.25">
      <c r="A329" s="222" t="s">
        <v>758</v>
      </c>
      <c r="B329" s="1"/>
      <c r="C329"/>
      <c r="D329"/>
      <c r="E329"/>
    </row>
    <row r="330" spans="1:6" x14ac:dyDescent="0.25">
      <c r="A330" s="455" t="s">
        <v>781</v>
      </c>
      <c r="B330" s="441" t="s">
        <v>534</v>
      </c>
      <c r="C330" s="81">
        <v>8</v>
      </c>
      <c r="D330" s="81">
        <v>8</v>
      </c>
      <c r="E330" s="81">
        <v>8</v>
      </c>
    </row>
    <row r="331" spans="1:6" x14ac:dyDescent="0.25">
      <c r="A331" s="455" t="s">
        <v>760</v>
      </c>
      <c r="B331" s="441"/>
      <c r="C331" s="5">
        <f>ROUNDUP(C326/C330,0)</f>
        <v>4</v>
      </c>
      <c r="D331" s="5">
        <f>ROUNDUP(D326/D330,0)</f>
        <v>4</v>
      </c>
      <c r="E331" s="5">
        <f>ROUNDUP(E326/E330,0)</f>
        <v>3</v>
      </c>
    </row>
    <row r="332" spans="1:6" x14ac:dyDescent="0.25">
      <c r="A332" s="455" t="s">
        <v>758</v>
      </c>
      <c r="B332" s="441" t="s">
        <v>749</v>
      </c>
      <c r="C332" s="81">
        <v>0.6</v>
      </c>
      <c r="D332" s="81">
        <v>0.6</v>
      </c>
      <c r="E332" s="81">
        <v>0.6</v>
      </c>
    </row>
    <row r="333" spans="1:6" x14ac:dyDescent="0.25">
      <c r="A333" s="455" t="s">
        <v>761</v>
      </c>
      <c r="B333" s="441" t="s">
        <v>749</v>
      </c>
      <c r="C333" s="81">
        <f>C332*C331</f>
        <v>2.4</v>
      </c>
      <c r="D333" s="81">
        <f>D332*D331</f>
        <v>2.4</v>
      </c>
      <c r="E333" s="81">
        <f>E332*E331</f>
        <v>1.7999999999999998</v>
      </c>
    </row>
    <row r="334" spans="1:6" x14ac:dyDescent="0.25">
      <c r="A334" s="455" t="s">
        <v>762</v>
      </c>
      <c r="B334" s="441" t="s">
        <v>763</v>
      </c>
      <c r="C334" s="5">
        <f>ROUNDUP(C323/C333,0)</f>
        <v>6</v>
      </c>
      <c r="D334" s="5">
        <f>ROUNDUP(D323/D333,0)</f>
        <v>7</v>
      </c>
      <c r="E334" s="5">
        <f>ROUNDUP(E323/E333,0)</f>
        <v>3</v>
      </c>
    </row>
    <row r="335" spans="1:6" x14ac:dyDescent="0.25">
      <c r="A335" s="455" t="s">
        <v>764</v>
      </c>
      <c r="B335" s="441" t="s">
        <v>763</v>
      </c>
      <c r="C335" s="5">
        <v>3</v>
      </c>
      <c r="D335" s="5">
        <v>3</v>
      </c>
      <c r="E335" s="5">
        <v>3</v>
      </c>
    </row>
    <row r="336" spans="1:6" x14ac:dyDescent="0.25">
      <c r="B336" s="441"/>
      <c r="C336" s="81"/>
      <c r="D336" s="81"/>
      <c r="E336" s="81"/>
    </row>
    <row r="337" spans="1:5" x14ac:dyDescent="0.25">
      <c r="A337" s="448" t="s">
        <v>765</v>
      </c>
      <c r="B337" s="447"/>
      <c r="C337" s="446"/>
      <c r="D337" s="446"/>
      <c r="E337" s="446"/>
    </row>
    <row r="338" spans="1:5" x14ac:dyDescent="0.25">
      <c r="A338" s="445" t="s">
        <v>766</v>
      </c>
      <c r="B338" s="447" t="s">
        <v>614</v>
      </c>
      <c r="C338" s="343">
        <f>(C335*C326)/C323*60</f>
        <v>427.58620689655169</v>
      </c>
      <c r="D338" s="343">
        <f>(D335*D326)/D323*60</f>
        <v>347.6635514018692</v>
      </c>
      <c r="E338" s="343">
        <f>(E335*E326)/E323*60</f>
        <v>806.92375109553006</v>
      </c>
    </row>
    <row r="339" spans="1:5" x14ac:dyDescent="0.25">
      <c r="A339" s="455"/>
      <c r="B339" s="81"/>
      <c r="C339" s="82"/>
      <c r="D339" s="82"/>
      <c r="E339" s="82"/>
    </row>
    <row r="340" spans="1:5" x14ac:dyDescent="0.25">
      <c r="A340" s="450" t="s">
        <v>767</v>
      </c>
      <c r="B340" s="89"/>
      <c r="C340" s="451">
        <f>SUM(C341:C345)</f>
        <v>604.13</v>
      </c>
      <c r="D340" s="451">
        <f>SUM(D341:D345)</f>
        <v>604.13</v>
      </c>
      <c r="E340" s="451">
        <f>SUM(E341:E345)</f>
        <v>604.13</v>
      </c>
    </row>
    <row r="341" spans="1:5" x14ac:dyDescent="0.25">
      <c r="A341" t="s">
        <v>772</v>
      </c>
      <c r="B341" s="33">
        <f>'Equipment Rates 2025'!$E$27+'Labor Rates 2025'!$E$12</f>
        <v>173.25</v>
      </c>
      <c r="C341" s="197">
        <f>B341</f>
        <v>173.25</v>
      </c>
      <c r="D341" s="197">
        <f>B341</f>
        <v>173.25</v>
      </c>
      <c r="E341" s="197">
        <f>B341</f>
        <v>173.25</v>
      </c>
    </row>
    <row r="342" spans="1:5" x14ac:dyDescent="0.25">
      <c r="A342" t="s">
        <v>773</v>
      </c>
      <c r="B342" s="33">
        <f>'Equipment Rates 2025'!$E$50+'Labor Rates 2025'!$E$12</f>
        <v>125.92</v>
      </c>
      <c r="C342" s="197">
        <f>B342*3</f>
        <v>377.76</v>
      </c>
      <c r="D342" s="197">
        <f>B342*3</f>
        <v>377.76</v>
      </c>
      <c r="E342" s="197">
        <f>B342*3</f>
        <v>377.76</v>
      </c>
    </row>
    <row r="343" spans="1:5" x14ac:dyDescent="0.25">
      <c r="A343" t="s">
        <v>1948</v>
      </c>
      <c r="B343" s="372"/>
      <c r="C343" s="197">
        <f>$B$343</f>
        <v>0</v>
      </c>
      <c r="D343" s="197">
        <f t="shared" ref="D343:E343" si="186">$B$343</f>
        <v>0</v>
      </c>
      <c r="E343" s="197">
        <f t="shared" si="186"/>
        <v>0</v>
      </c>
    </row>
    <row r="344" spans="1:5" x14ac:dyDescent="0.25">
      <c r="A344" t="s">
        <v>770</v>
      </c>
      <c r="B344" s="372">
        <f>'Equipment Rates 2025'!E48+'Labor Rates 2025'!E47</f>
        <v>53.12</v>
      </c>
      <c r="C344" s="197">
        <f t="shared" ref="C344" si="187">B344</f>
        <v>53.12</v>
      </c>
      <c r="D344" s="197">
        <f t="shared" ref="D344" si="188">B344</f>
        <v>53.12</v>
      </c>
      <c r="E344" s="197">
        <f>B344</f>
        <v>53.12</v>
      </c>
    </row>
    <row r="345" spans="1:5" x14ac:dyDescent="0.25">
      <c r="A345" t="s">
        <v>1949</v>
      </c>
      <c r="B345" s="372"/>
      <c r="C345" s="197">
        <f>$B$345</f>
        <v>0</v>
      </c>
      <c r="D345" s="197">
        <f t="shared" ref="D345:E345" si="189">$B$345</f>
        <v>0</v>
      </c>
      <c r="E345" s="197">
        <f t="shared" si="189"/>
        <v>0</v>
      </c>
    </row>
    <row r="346" spans="1:5" x14ac:dyDescent="0.25">
      <c r="E346"/>
    </row>
    <row r="347" spans="1:5" x14ac:dyDescent="0.25">
      <c r="E347"/>
    </row>
    <row r="348" spans="1:5" x14ac:dyDescent="0.25">
      <c r="E348"/>
    </row>
    <row r="349" spans="1:5" x14ac:dyDescent="0.25">
      <c r="E349"/>
    </row>
    <row r="350" spans="1:5" x14ac:dyDescent="0.25">
      <c r="E350"/>
    </row>
    <row r="351" spans="1:5" x14ac:dyDescent="0.25">
      <c r="E351"/>
    </row>
    <row r="352" spans="1:5" x14ac:dyDescent="0.25">
      <c r="E352"/>
    </row>
    <row r="354" spans="1:8" x14ac:dyDescent="0.25">
      <c r="A354" s="427" t="s">
        <v>782</v>
      </c>
      <c r="B354" s="428"/>
      <c r="C354" s="518"/>
      <c r="D354" s="518"/>
      <c r="E354" s="518"/>
      <c r="F354" s="428"/>
      <c r="G354" s="428"/>
      <c r="H354" s="428"/>
    </row>
    <row r="357" spans="1:8" x14ac:dyDescent="0.25">
      <c r="A357" s="79" t="s">
        <v>783</v>
      </c>
      <c r="B357" s="30"/>
      <c r="C357" s="30"/>
      <c r="D357" s="30"/>
    </row>
    <row r="358" spans="1:8" x14ac:dyDescent="0.25">
      <c r="C358"/>
    </row>
    <row r="359" spans="1:8" x14ac:dyDescent="0.25">
      <c r="C359"/>
    </row>
    <row r="360" spans="1:8" x14ac:dyDescent="0.25">
      <c r="C360"/>
    </row>
    <row r="378" spans="1:4" x14ac:dyDescent="0.25">
      <c r="A378" s="190" t="s">
        <v>784</v>
      </c>
      <c r="B378" s="873">
        <f>((('AcreageTracking-MAP'!G91)*43560)/60)/5280</f>
        <v>6.6056651766076664</v>
      </c>
      <c r="C378" t="s">
        <v>785</v>
      </c>
    </row>
    <row r="379" spans="1:4" x14ac:dyDescent="0.25">
      <c r="A379" s="327" t="s">
        <v>786</v>
      </c>
      <c r="B379" s="215">
        <f>B378*5280</f>
        <v>34877.912132488476</v>
      </c>
      <c r="C379" s="167" t="s">
        <v>787</v>
      </c>
    </row>
    <row r="380" spans="1:4" x14ac:dyDescent="0.25">
      <c r="A380" s="190" t="s">
        <v>788</v>
      </c>
      <c r="B380" s="873">
        <f>((SUM('AcreageTracking-MAP'!G94:G96)*43560)/50)/5280</f>
        <v>2.1992000332388275</v>
      </c>
      <c r="C380" s="167" t="s">
        <v>789</v>
      </c>
      <c r="D380"/>
    </row>
    <row r="381" spans="1:4" x14ac:dyDescent="0.25">
      <c r="A381" s="190" t="s">
        <v>790</v>
      </c>
      <c r="B381" s="215">
        <f>B380*5280</f>
        <v>11611.776175501009</v>
      </c>
      <c r="C381" s="167" t="s">
        <v>791</v>
      </c>
      <c r="D381"/>
    </row>
    <row r="382" spans="1:4" x14ac:dyDescent="0.25">
      <c r="D382"/>
    </row>
    <row r="383" spans="1:4" x14ac:dyDescent="0.25">
      <c r="D383"/>
    </row>
    <row r="385" spans="1:7" x14ac:dyDescent="0.25">
      <c r="F385" s="1"/>
    </row>
    <row r="386" spans="1:7" x14ac:dyDescent="0.25">
      <c r="E386" s="283"/>
      <c r="F386" s="93"/>
      <c r="G386" s="93"/>
    </row>
    <row r="387" spans="1:7" x14ac:dyDescent="0.25">
      <c r="D387"/>
      <c r="E387" s="326"/>
      <c r="F387" s="93"/>
      <c r="G387" s="93"/>
    </row>
    <row r="388" spans="1:7" x14ac:dyDescent="0.25">
      <c r="F388" s="93"/>
      <c r="G388" s="93"/>
    </row>
    <row r="389" spans="1:7" x14ac:dyDescent="0.25">
      <c r="F389" s="93"/>
      <c r="G389" s="93"/>
    </row>
    <row r="390" spans="1:7" x14ac:dyDescent="0.25">
      <c r="C390"/>
      <c r="D390"/>
      <c r="E390"/>
    </row>
    <row r="395" spans="1:7" x14ac:dyDescent="0.25">
      <c r="A395" s="26" t="s">
        <v>792</v>
      </c>
      <c r="B395" s="30"/>
      <c r="C395" s="30"/>
      <c r="D395" s="30"/>
      <c r="E395" s="36"/>
      <c r="F395" s="30"/>
    </row>
    <row r="397" spans="1:7" x14ac:dyDescent="0.25">
      <c r="A397" s="30" t="s">
        <v>793</v>
      </c>
      <c r="B397" s="36"/>
      <c r="C397" s="36"/>
      <c r="D397" s="36"/>
      <c r="E397" s="36"/>
      <c r="F397" s="30"/>
    </row>
    <row r="400" spans="1:7" x14ac:dyDescent="0.25">
      <c r="D400"/>
      <c r="E400"/>
    </row>
    <row r="401" spans="1:6" x14ac:dyDescent="0.25">
      <c r="C401"/>
      <c r="D401"/>
      <c r="E401"/>
    </row>
    <row r="402" spans="1:6" x14ac:dyDescent="0.25">
      <c r="C402"/>
      <c r="D402"/>
      <c r="E402"/>
    </row>
    <row r="403" spans="1:6" x14ac:dyDescent="0.25">
      <c r="C403"/>
      <c r="D403"/>
      <c r="E403"/>
    </row>
    <row r="404" spans="1:6" x14ac:dyDescent="0.25">
      <c r="C404"/>
      <c r="D404"/>
      <c r="E404"/>
    </row>
    <row r="405" spans="1:6" x14ac:dyDescent="0.25">
      <c r="C405"/>
      <c r="D405"/>
      <c r="E405"/>
    </row>
    <row r="406" spans="1:6" x14ac:dyDescent="0.25">
      <c r="C406"/>
      <c r="D406"/>
      <c r="E406"/>
    </row>
    <row r="407" spans="1:6" x14ac:dyDescent="0.25">
      <c r="C407"/>
      <c r="D407"/>
      <c r="E407"/>
    </row>
    <row r="408" spans="1:6" x14ac:dyDescent="0.25">
      <c r="C408"/>
      <c r="D408"/>
      <c r="E408"/>
    </row>
    <row r="409" spans="1:6" x14ac:dyDescent="0.25">
      <c r="C409"/>
      <c r="D409"/>
      <c r="E409"/>
    </row>
    <row r="410" spans="1:6" x14ac:dyDescent="0.25">
      <c r="C410"/>
      <c r="D410"/>
      <c r="E410"/>
    </row>
    <row r="411" spans="1:6" x14ac:dyDescent="0.25">
      <c r="C411"/>
      <c r="D411"/>
      <c r="E411"/>
    </row>
    <row r="412" spans="1:6" x14ac:dyDescent="0.25">
      <c r="A412" s="30" t="s">
        <v>794</v>
      </c>
      <c r="B412" s="30"/>
      <c r="C412" s="30"/>
      <c r="D412" s="30"/>
      <c r="E412" s="30"/>
      <c r="F412" s="30"/>
    </row>
    <row r="413" spans="1:6" x14ac:dyDescent="0.25">
      <c r="C413"/>
      <c r="D413"/>
      <c r="E413"/>
    </row>
    <row r="414" spans="1:6" x14ac:dyDescent="0.25">
      <c r="C414"/>
      <c r="D414"/>
      <c r="E414"/>
    </row>
    <row r="415" spans="1:6" x14ac:dyDescent="0.25">
      <c r="C415"/>
      <c r="D415"/>
      <c r="E415"/>
    </row>
    <row r="419" spans="1:6" x14ac:dyDescent="0.25">
      <c r="B419" s="325" t="s">
        <v>738</v>
      </c>
      <c r="C419" s="325" t="s">
        <v>739</v>
      </c>
      <c r="D419" s="325" t="s">
        <v>740</v>
      </c>
      <c r="E419" s="325" t="s">
        <v>741</v>
      </c>
    </row>
    <row r="420" spans="1:6" x14ac:dyDescent="0.25">
      <c r="A420" t="s">
        <v>795</v>
      </c>
      <c r="B420" s="199">
        <v>80</v>
      </c>
      <c r="C420" s="200">
        <v>175</v>
      </c>
      <c r="D420" s="190">
        <v>125</v>
      </c>
      <c r="E420" s="190">
        <v>100</v>
      </c>
      <c r="F420" s="73" t="s">
        <v>796</v>
      </c>
    </row>
    <row r="421" spans="1:6" x14ac:dyDescent="0.25">
      <c r="A421" t="s">
        <v>797</v>
      </c>
      <c r="B421" s="199">
        <v>2000</v>
      </c>
      <c r="C421" s="200">
        <v>2000</v>
      </c>
      <c r="D421" s="200">
        <v>1300</v>
      </c>
      <c r="E421" s="200">
        <v>8500</v>
      </c>
      <c r="F421" t="s">
        <v>798</v>
      </c>
    </row>
    <row r="422" spans="1:6" x14ac:dyDescent="0.25">
      <c r="A422" t="s">
        <v>799</v>
      </c>
      <c r="B422" s="284">
        <v>92.47999999999999</v>
      </c>
      <c r="C422" s="284">
        <v>442.53125</v>
      </c>
      <c r="D422" s="284">
        <v>225.78125</v>
      </c>
      <c r="E422" s="284">
        <v>144.49999999999997</v>
      </c>
    </row>
    <row r="423" spans="1:6" x14ac:dyDescent="0.25">
      <c r="A423" t="s">
        <v>800</v>
      </c>
      <c r="B423" s="285">
        <v>184959.99999999997</v>
      </c>
      <c r="C423" s="285">
        <v>885062.5</v>
      </c>
      <c r="D423" s="285">
        <v>293515.625</v>
      </c>
      <c r="E423" s="285">
        <v>1228249.9999999998</v>
      </c>
    </row>
    <row r="426" spans="1:6" x14ac:dyDescent="0.25">
      <c r="A426" s="3"/>
      <c r="C426"/>
      <c r="D426"/>
      <c r="E426"/>
    </row>
    <row r="427" spans="1:6" x14ac:dyDescent="0.25">
      <c r="A427" s="167"/>
      <c r="C427"/>
      <c r="D427"/>
      <c r="E427"/>
    </row>
    <row r="428" spans="1:6" x14ac:dyDescent="0.25">
      <c r="A428" s="167"/>
      <c r="C428"/>
      <c r="D428"/>
      <c r="E428"/>
    </row>
    <row r="429" spans="1:6" x14ac:dyDescent="0.25">
      <c r="A429" s="167"/>
      <c r="C429"/>
      <c r="D429"/>
      <c r="E429"/>
    </row>
    <row r="430" spans="1:6" x14ac:dyDescent="0.25">
      <c r="A430" s="167"/>
      <c r="C430"/>
      <c r="D430"/>
      <c r="E430"/>
    </row>
    <row r="431" spans="1:6" x14ac:dyDescent="0.25">
      <c r="C431"/>
      <c r="D431"/>
      <c r="E431"/>
    </row>
    <row r="432" spans="1:6" x14ac:dyDescent="0.25">
      <c r="C432"/>
      <c r="D432"/>
      <c r="E432"/>
    </row>
    <row r="433" spans="1:6" x14ac:dyDescent="0.25">
      <c r="C433"/>
      <c r="D433"/>
      <c r="E433"/>
    </row>
    <row r="434" spans="1:6" x14ac:dyDescent="0.25">
      <c r="C434"/>
      <c r="D434"/>
      <c r="E434"/>
    </row>
    <row r="435" spans="1:6" x14ac:dyDescent="0.25">
      <c r="C435"/>
      <c r="D435"/>
      <c r="E435"/>
    </row>
    <row r="436" spans="1:6" x14ac:dyDescent="0.25">
      <c r="C436"/>
      <c r="D436"/>
      <c r="E436"/>
    </row>
    <row r="437" spans="1:6" x14ac:dyDescent="0.25">
      <c r="C437"/>
      <c r="D437"/>
      <c r="E437"/>
    </row>
    <row r="438" spans="1:6" x14ac:dyDescent="0.25">
      <c r="C438"/>
      <c r="D438"/>
      <c r="E438"/>
    </row>
    <row r="439" spans="1:6" x14ac:dyDescent="0.25">
      <c r="C439"/>
      <c r="D439"/>
      <c r="E439"/>
    </row>
    <row r="440" spans="1:6" ht="45" x14ac:dyDescent="0.25">
      <c r="A440" s="267" t="s">
        <v>802</v>
      </c>
      <c r="B440" s="267" t="s">
        <v>803</v>
      </c>
      <c r="C440" s="286" t="s">
        <v>804</v>
      </c>
      <c r="D440" s="286" t="s">
        <v>805</v>
      </c>
      <c r="E440" s="286" t="s">
        <v>806</v>
      </c>
      <c r="F440" s="286" t="s">
        <v>807</v>
      </c>
    </row>
    <row r="441" spans="1:6" x14ac:dyDescent="0.25">
      <c r="A441" s="287">
        <v>5780</v>
      </c>
      <c r="B441" s="287">
        <v>20</v>
      </c>
      <c r="C441" s="288" t="s">
        <v>808</v>
      </c>
      <c r="D441" s="289">
        <v>250</v>
      </c>
      <c r="E441" s="288">
        <v>0</v>
      </c>
      <c r="F441" s="290">
        <v>1444.9999999999998</v>
      </c>
    </row>
    <row r="442" spans="1:6" x14ac:dyDescent="0.25">
      <c r="A442" s="287">
        <v>5800</v>
      </c>
      <c r="B442" s="287">
        <v>20</v>
      </c>
      <c r="C442" s="288" t="s">
        <v>808</v>
      </c>
      <c r="D442" s="289">
        <v>400</v>
      </c>
      <c r="E442" s="288">
        <v>0</v>
      </c>
      <c r="F442" s="290">
        <v>2311.9999999999995</v>
      </c>
    </row>
    <row r="443" spans="1:6" x14ac:dyDescent="0.25">
      <c r="A443" s="260">
        <v>5820</v>
      </c>
      <c r="B443" s="287">
        <v>20</v>
      </c>
      <c r="C443" s="288" t="s">
        <v>808</v>
      </c>
      <c r="D443" s="260">
        <v>850</v>
      </c>
      <c r="E443" s="288">
        <v>0</v>
      </c>
      <c r="F443" s="290">
        <v>4912.9999999999991</v>
      </c>
    </row>
    <row r="444" spans="1:6" x14ac:dyDescent="0.25">
      <c r="A444" s="260">
        <v>5840</v>
      </c>
      <c r="B444" s="260">
        <v>20</v>
      </c>
      <c r="C444" s="288">
        <v>1200</v>
      </c>
      <c r="D444" s="260">
        <v>1100</v>
      </c>
      <c r="E444" s="288">
        <v>8064</v>
      </c>
      <c r="F444" s="290">
        <v>6357.9999999999991</v>
      </c>
    </row>
    <row r="445" spans="1:6" x14ac:dyDescent="0.25">
      <c r="A445" s="260">
        <v>5860</v>
      </c>
      <c r="B445" s="260">
        <v>20</v>
      </c>
      <c r="C445" s="288">
        <v>1000</v>
      </c>
      <c r="D445" s="260">
        <v>1400</v>
      </c>
      <c r="E445" s="288">
        <v>6720</v>
      </c>
      <c r="F445" s="290">
        <v>8091.9999999999991</v>
      </c>
    </row>
    <row r="446" spans="1:6" x14ac:dyDescent="0.25">
      <c r="A446" s="260">
        <v>5880</v>
      </c>
      <c r="B446" s="260">
        <v>20</v>
      </c>
      <c r="C446" s="288">
        <v>800</v>
      </c>
      <c r="D446" s="260">
        <v>1600</v>
      </c>
      <c r="E446" s="288">
        <v>5376</v>
      </c>
      <c r="F446" s="290">
        <v>9247.9999999999982</v>
      </c>
    </row>
    <row r="447" spans="1:6" x14ac:dyDescent="0.25">
      <c r="A447" s="260">
        <v>5900</v>
      </c>
      <c r="B447" s="260">
        <v>20</v>
      </c>
      <c r="C447" s="288">
        <v>1800</v>
      </c>
      <c r="D447" s="260">
        <v>1650</v>
      </c>
      <c r="E447" s="288">
        <v>12096</v>
      </c>
      <c r="F447" s="290">
        <v>9536.9999999999982</v>
      </c>
    </row>
    <row r="448" spans="1:6" x14ac:dyDescent="0.25">
      <c r="A448" s="260">
        <v>5920</v>
      </c>
      <c r="B448" s="260">
        <v>20</v>
      </c>
      <c r="C448" s="288">
        <v>1600</v>
      </c>
      <c r="D448" s="260">
        <v>1300</v>
      </c>
      <c r="E448" s="288">
        <v>10752</v>
      </c>
      <c r="F448" s="290">
        <v>7513.9999999999991</v>
      </c>
    </row>
    <row r="449" spans="1:6" x14ac:dyDescent="0.25">
      <c r="A449" s="260">
        <v>5940</v>
      </c>
      <c r="B449" s="260">
        <v>20</v>
      </c>
      <c r="C449" s="288">
        <v>3000</v>
      </c>
      <c r="D449" s="260">
        <v>1250</v>
      </c>
      <c r="E449" s="288">
        <v>20160</v>
      </c>
      <c r="F449" s="290">
        <v>7224.9999999999991</v>
      </c>
    </row>
    <row r="450" spans="1:6" x14ac:dyDescent="0.25">
      <c r="A450" s="260">
        <v>5960</v>
      </c>
      <c r="B450" s="260">
        <v>20</v>
      </c>
      <c r="C450" s="288">
        <v>3800</v>
      </c>
      <c r="D450" s="260">
        <v>1200</v>
      </c>
      <c r="E450" s="288">
        <v>25536</v>
      </c>
      <c r="F450" s="290">
        <v>6935.9999999999991</v>
      </c>
    </row>
    <row r="451" spans="1:6" x14ac:dyDescent="0.25">
      <c r="A451" s="260">
        <v>5980</v>
      </c>
      <c r="B451" s="260">
        <v>20</v>
      </c>
      <c r="C451" s="288">
        <v>3800</v>
      </c>
      <c r="D451" s="260">
        <v>4400</v>
      </c>
      <c r="E451" s="288">
        <v>25536</v>
      </c>
      <c r="F451" s="290">
        <v>25431.999999999996</v>
      </c>
    </row>
    <row r="452" spans="1:6" x14ac:dyDescent="0.25">
      <c r="A452" s="260">
        <v>6000</v>
      </c>
      <c r="B452" s="260">
        <v>20</v>
      </c>
      <c r="C452" s="288">
        <v>3600</v>
      </c>
      <c r="D452" s="260">
        <v>4400</v>
      </c>
      <c r="E452" s="288">
        <v>24192</v>
      </c>
      <c r="F452" s="290">
        <v>25431.999999999996</v>
      </c>
    </row>
    <row r="453" spans="1:6" x14ac:dyDescent="0.25">
      <c r="A453" s="260">
        <v>6020</v>
      </c>
      <c r="B453" s="260">
        <v>20</v>
      </c>
      <c r="C453" s="288">
        <v>4800</v>
      </c>
      <c r="D453" s="260">
        <v>4500</v>
      </c>
      <c r="E453" s="288">
        <v>32256</v>
      </c>
      <c r="F453" s="290">
        <v>26009.999999999996</v>
      </c>
    </row>
    <row r="454" spans="1:6" x14ac:dyDescent="0.25">
      <c r="A454" s="260">
        <v>6040</v>
      </c>
      <c r="B454" s="260">
        <v>20</v>
      </c>
      <c r="C454" s="288">
        <v>5800</v>
      </c>
      <c r="D454" s="260">
        <v>4600</v>
      </c>
      <c r="E454" s="288">
        <v>38976</v>
      </c>
      <c r="F454" s="290">
        <v>26587.999999999996</v>
      </c>
    </row>
    <row r="455" spans="1:6" x14ac:dyDescent="0.25">
      <c r="A455" s="260">
        <v>6060</v>
      </c>
      <c r="B455" s="260">
        <v>20</v>
      </c>
      <c r="C455" s="288">
        <v>6000</v>
      </c>
      <c r="D455" s="260">
        <v>4800</v>
      </c>
      <c r="E455" s="288">
        <v>40320</v>
      </c>
      <c r="F455" s="290">
        <v>27743.999999999996</v>
      </c>
    </row>
    <row r="456" spans="1:6" x14ac:dyDescent="0.25">
      <c r="A456" s="260">
        <v>6080</v>
      </c>
      <c r="B456" s="260">
        <v>20</v>
      </c>
      <c r="C456" s="288">
        <v>5800</v>
      </c>
      <c r="D456" s="260">
        <v>4600</v>
      </c>
      <c r="E456" s="288">
        <v>38976</v>
      </c>
      <c r="F456" s="290">
        <v>26587.999999999996</v>
      </c>
    </row>
    <row r="457" spans="1:6" x14ac:dyDescent="0.25">
      <c r="A457" s="260">
        <v>6100</v>
      </c>
      <c r="B457" s="260">
        <v>20</v>
      </c>
      <c r="C457" s="288">
        <v>5600</v>
      </c>
      <c r="D457" s="260">
        <v>4400</v>
      </c>
      <c r="E457" s="288">
        <v>37632</v>
      </c>
      <c r="F457" s="290">
        <v>25431.999999999996</v>
      </c>
    </row>
    <row r="458" spans="1:6" x14ac:dyDescent="0.25">
      <c r="A458" s="260">
        <v>6120</v>
      </c>
      <c r="B458" s="260">
        <v>20</v>
      </c>
      <c r="C458" s="288">
        <v>2600</v>
      </c>
      <c r="D458" s="260">
        <v>2000</v>
      </c>
      <c r="E458" s="288">
        <v>17472</v>
      </c>
      <c r="F458" s="290">
        <v>11559.999999999998</v>
      </c>
    </row>
    <row r="459" spans="1:6" x14ac:dyDescent="0.25">
      <c r="A459" s="260">
        <v>6140</v>
      </c>
      <c r="B459" s="260">
        <v>20</v>
      </c>
      <c r="C459" s="288">
        <v>2600</v>
      </c>
      <c r="D459" s="260">
        <v>2000</v>
      </c>
      <c r="E459" s="288">
        <v>17472</v>
      </c>
      <c r="F459" s="290">
        <v>11559.999999999998</v>
      </c>
    </row>
    <row r="460" spans="1:6" x14ac:dyDescent="0.25">
      <c r="A460" s="260">
        <v>6160</v>
      </c>
      <c r="B460" s="260">
        <v>20</v>
      </c>
      <c r="C460" s="288">
        <v>2400</v>
      </c>
      <c r="D460" s="260">
        <v>2000</v>
      </c>
      <c r="E460" s="288">
        <v>16128</v>
      </c>
      <c r="F460" s="290">
        <v>11559.999999999998</v>
      </c>
    </row>
    <row r="461" spans="1:6" x14ac:dyDescent="0.25">
      <c r="A461" s="260">
        <v>6180</v>
      </c>
      <c r="B461" s="260">
        <v>20</v>
      </c>
      <c r="C461" s="288">
        <v>2200</v>
      </c>
      <c r="D461" s="260">
        <v>1800</v>
      </c>
      <c r="E461" s="288">
        <v>14784</v>
      </c>
      <c r="F461" s="290">
        <v>10403.999999999998</v>
      </c>
    </row>
    <row r="462" spans="1:6" x14ac:dyDescent="0.25">
      <c r="A462" s="260">
        <v>6200</v>
      </c>
      <c r="B462" s="260">
        <v>20</v>
      </c>
      <c r="C462" s="288">
        <v>2000</v>
      </c>
      <c r="D462" s="260">
        <v>1800</v>
      </c>
      <c r="E462" s="288">
        <v>13440</v>
      </c>
      <c r="F462" s="290">
        <v>10403.999999999998</v>
      </c>
    </row>
    <row r="463" spans="1:6" x14ac:dyDescent="0.25">
      <c r="A463" s="260">
        <v>6220</v>
      </c>
      <c r="B463" s="260">
        <v>20</v>
      </c>
      <c r="C463" s="288">
        <v>1900</v>
      </c>
      <c r="D463" s="260">
        <v>1900</v>
      </c>
      <c r="E463" s="288">
        <v>12768</v>
      </c>
      <c r="F463" s="290">
        <v>10981.999999999998</v>
      </c>
    </row>
    <row r="464" spans="1:6" x14ac:dyDescent="0.25">
      <c r="A464" s="260">
        <v>6240</v>
      </c>
      <c r="B464" s="260">
        <v>20</v>
      </c>
      <c r="C464" s="288">
        <v>1800</v>
      </c>
      <c r="D464" s="260">
        <v>1800</v>
      </c>
      <c r="E464" s="288">
        <v>12096</v>
      </c>
      <c r="F464" s="290">
        <v>10403.999999999998</v>
      </c>
    </row>
    <row r="465" spans="1:6" x14ac:dyDescent="0.25">
      <c r="A465" s="260">
        <v>6260</v>
      </c>
      <c r="B465" s="260">
        <v>20</v>
      </c>
      <c r="C465" s="288">
        <v>1700</v>
      </c>
      <c r="D465" s="260">
        <v>1700</v>
      </c>
      <c r="E465" s="288">
        <v>11424</v>
      </c>
      <c r="F465" s="290">
        <v>9825.9999999999982</v>
      </c>
    </row>
    <row r="466" spans="1:6" x14ac:dyDescent="0.25">
      <c r="A466" s="260">
        <v>6280</v>
      </c>
      <c r="B466" s="260">
        <v>20</v>
      </c>
      <c r="C466" s="288">
        <v>1700</v>
      </c>
      <c r="D466" s="260">
        <v>1700</v>
      </c>
      <c r="E466" s="288">
        <v>11424</v>
      </c>
      <c r="F466" s="290">
        <v>9825.9999999999982</v>
      </c>
    </row>
    <row r="467" spans="1:6" ht="17.25" x14ac:dyDescent="0.4">
      <c r="A467" s="260">
        <v>6300</v>
      </c>
      <c r="B467" s="260">
        <v>20</v>
      </c>
      <c r="C467" s="291">
        <v>1750</v>
      </c>
      <c r="D467" s="292">
        <v>1750</v>
      </c>
      <c r="E467" s="291">
        <v>11760</v>
      </c>
      <c r="F467" s="293">
        <v>10114.999999999998</v>
      </c>
    </row>
    <row r="468" spans="1:6" x14ac:dyDescent="0.25">
      <c r="A468" s="260" t="s">
        <v>809</v>
      </c>
      <c r="B468" s="260"/>
      <c r="C468" s="288">
        <v>69250</v>
      </c>
      <c r="D468" s="260">
        <v>61150</v>
      </c>
      <c r="E468" s="288">
        <v>465360</v>
      </c>
      <c r="F468" s="260">
        <v>353446.99999999994</v>
      </c>
    </row>
    <row r="469" spans="1:6" x14ac:dyDescent="0.25">
      <c r="A469" s="3" t="s">
        <v>810</v>
      </c>
      <c r="B469" s="3"/>
      <c r="C469" s="605">
        <v>818807</v>
      </c>
      <c r="D469"/>
      <c r="E469"/>
    </row>
    <row r="470" spans="1:6" x14ac:dyDescent="0.25">
      <c r="C470"/>
      <c r="D470"/>
      <c r="E470"/>
    </row>
    <row r="472" spans="1:6" x14ac:dyDescent="0.25">
      <c r="A472" s="30" t="s">
        <v>811</v>
      </c>
      <c r="B472" s="30"/>
      <c r="C472" s="30"/>
      <c r="D472" s="30"/>
      <c r="E472" s="30"/>
      <c r="F472" s="30"/>
    </row>
    <row r="473" spans="1:6" x14ac:dyDescent="0.25">
      <c r="C473"/>
      <c r="D473"/>
      <c r="E473"/>
    </row>
    <row r="474" spans="1:6" x14ac:dyDescent="0.25">
      <c r="C474"/>
      <c r="D474"/>
      <c r="E474"/>
    </row>
    <row r="475" spans="1:6" x14ac:dyDescent="0.25">
      <c r="C475"/>
      <c r="D475"/>
      <c r="E475"/>
    </row>
    <row r="476" spans="1:6" x14ac:dyDescent="0.25">
      <c r="C476"/>
      <c r="D476"/>
      <c r="E476"/>
    </row>
    <row r="477" spans="1:6" x14ac:dyDescent="0.25">
      <c r="C477"/>
      <c r="D477"/>
      <c r="E477"/>
    </row>
    <row r="478" spans="1:6" x14ac:dyDescent="0.25">
      <c r="C478"/>
      <c r="D478"/>
      <c r="E478"/>
    </row>
    <row r="479" spans="1:6" x14ac:dyDescent="0.25">
      <c r="C479"/>
      <c r="D479"/>
      <c r="E479"/>
    </row>
    <row r="480" spans="1:6" x14ac:dyDescent="0.25">
      <c r="C480"/>
      <c r="D480"/>
      <c r="E480"/>
    </row>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spans="1:10" x14ac:dyDescent="0.25">
      <c r="C497"/>
      <c r="D497"/>
      <c r="E497"/>
    </row>
    <row r="498" spans="1:10" x14ac:dyDescent="0.25">
      <c r="C498"/>
      <c r="D498"/>
      <c r="E498"/>
      <c r="F498" s="3"/>
    </row>
    <row r="499" spans="1:10" x14ac:dyDescent="0.25">
      <c r="A499" s="3" t="s">
        <v>812</v>
      </c>
      <c r="C499"/>
      <c r="D499"/>
      <c r="E499"/>
      <c r="F499" s="3"/>
    </row>
    <row r="500" spans="1:10" x14ac:dyDescent="0.25">
      <c r="A500" s="3" t="s">
        <v>813</v>
      </c>
      <c r="C500"/>
      <c r="D500"/>
      <c r="E500"/>
      <c r="F500" s="3"/>
    </row>
    <row r="501" spans="1:10" x14ac:dyDescent="0.25">
      <c r="C501"/>
      <c r="D501"/>
      <c r="E501"/>
    </row>
    <row r="502" spans="1:10" x14ac:dyDescent="0.25">
      <c r="C502"/>
      <c r="D502" s="243" t="s">
        <v>816</v>
      </c>
      <c r="E502" s="243" t="s">
        <v>816</v>
      </c>
      <c r="F502" s="243" t="s">
        <v>817</v>
      </c>
      <c r="G502" s="243" t="s">
        <v>817</v>
      </c>
      <c r="H502" s="243" t="s">
        <v>818</v>
      </c>
      <c r="I502" s="243" t="s">
        <v>818</v>
      </c>
    </row>
    <row r="503" spans="1:10" x14ac:dyDescent="0.25">
      <c r="C503"/>
      <c r="D503" s="243" t="s">
        <v>819</v>
      </c>
      <c r="E503" s="243" t="s">
        <v>820</v>
      </c>
      <c r="F503" s="243" t="s">
        <v>821</v>
      </c>
      <c r="G503" s="243" t="s">
        <v>822</v>
      </c>
      <c r="H503" s="243" t="s">
        <v>823</v>
      </c>
      <c r="I503" s="243" t="s">
        <v>824</v>
      </c>
    </row>
    <row r="504" spans="1:10" x14ac:dyDescent="0.25">
      <c r="A504" t="s">
        <v>825</v>
      </c>
      <c r="C504"/>
      <c r="D504" s="297">
        <v>4800</v>
      </c>
      <c r="E504" s="297">
        <v>4000</v>
      </c>
      <c r="F504" s="297">
        <v>500</v>
      </c>
      <c r="G504" s="297">
        <v>1000</v>
      </c>
      <c r="H504" s="298" t="s">
        <v>826</v>
      </c>
      <c r="I504" s="297">
        <v>6400</v>
      </c>
    </row>
    <row r="505" spans="1:10" x14ac:dyDescent="0.25">
      <c r="A505" t="s">
        <v>827</v>
      </c>
      <c r="C505"/>
      <c r="D505" s="299">
        <v>439.72598765432099</v>
      </c>
      <c r="E505" s="299">
        <v>36.124999999999993</v>
      </c>
      <c r="F505" s="299">
        <v>9.0312499999999982</v>
      </c>
      <c r="G505" s="299">
        <v>36.124999999999993</v>
      </c>
      <c r="H505" s="189" t="s">
        <v>50</v>
      </c>
      <c r="I505" s="299">
        <v>36.124999999999993</v>
      </c>
      <c r="J505" t="s">
        <v>828</v>
      </c>
    </row>
    <row r="506" spans="1:10" x14ac:dyDescent="0.25">
      <c r="A506" t="s">
        <v>829</v>
      </c>
      <c r="C506"/>
      <c r="D506" s="297">
        <v>2110684.7407407407</v>
      </c>
      <c r="E506" s="297">
        <v>144499.99999999997</v>
      </c>
      <c r="F506" s="299">
        <v>4515.6249999999991</v>
      </c>
      <c r="G506" s="297">
        <v>36124.999999999993</v>
      </c>
      <c r="H506" s="189" t="s">
        <v>50</v>
      </c>
      <c r="I506" s="299">
        <v>231199.99999999994</v>
      </c>
    </row>
    <row r="507" spans="1:10" x14ac:dyDescent="0.25">
      <c r="B507" s="3" t="s">
        <v>801</v>
      </c>
      <c r="C507" s="3"/>
      <c r="D507" s="346">
        <v>2110684.7407407407</v>
      </c>
      <c r="E507" s="346">
        <v>144499.99999999997</v>
      </c>
      <c r="F507" s="346">
        <v>4515.6249999999991</v>
      </c>
      <c r="G507" s="346">
        <v>36124.999999999993</v>
      </c>
      <c r="H507" s="191"/>
      <c r="I507" s="346">
        <v>231199.99999999994</v>
      </c>
    </row>
    <row r="508" spans="1:10" x14ac:dyDescent="0.25">
      <c r="A508" s="30"/>
      <c r="B508" s="30"/>
      <c r="C508" s="30"/>
      <c r="D508" s="420"/>
      <c r="E508" s="420"/>
      <c r="F508" s="420"/>
    </row>
    <row r="512" spans="1:10" ht="18.75" x14ac:dyDescent="0.3">
      <c r="A512" s="30" t="s">
        <v>622</v>
      </c>
      <c r="B512" s="421"/>
      <c r="C512" s="421"/>
      <c r="D512" s="421"/>
      <c r="E512" s="36"/>
      <c r="F512" s="30"/>
    </row>
    <row r="533" spans="1:6" x14ac:dyDescent="0.25">
      <c r="A533" s="188" t="s">
        <v>830</v>
      </c>
      <c r="B533" s="73"/>
      <c r="C533" s="77"/>
      <c r="D533" s="77"/>
      <c r="E533" s="77"/>
      <c r="F533" s="73"/>
    </row>
    <row r="535" spans="1:6" x14ac:dyDescent="0.25">
      <c r="A535" s="3" t="s">
        <v>831</v>
      </c>
      <c r="B535" s="73">
        <v>204000</v>
      </c>
      <c r="C535" s="77" t="s">
        <v>832</v>
      </c>
      <c r="D535" s="77"/>
    </row>
    <row r="536" spans="1:6" x14ac:dyDescent="0.25">
      <c r="B536" s="73">
        <f>B535*1.3</f>
        <v>265200</v>
      </c>
      <c r="C536" s="77" t="s">
        <v>20</v>
      </c>
      <c r="D536" s="295" t="s">
        <v>833</v>
      </c>
    </row>
    <row r="538" spans="1:6" ht="14.45" customHeight="1" x14ac:dyDescent="0.3">
      <c r="A538" s="30"/>
      <c r="B538" s="421"/>
      <c r="C538" s="421"/>
      <c r="D538" s="421"/>
      <c r="E538" s="36"/>
      <c r="F538" s="30"/>
    </row>
    <row r="542" spans="1:6" x14ac:dyDescent="0.25">
      <c r="A542" s="314" t="s">
        <v>834</v>
      </c>
      <c r="B542" s="30"/>
      <c r="C542" s="420"/>
      <c r="D542" s="420"/>
      <c r="E542" s="420"/>
      <c r="F542" s="420"/>
    </row>
    <row r="543" spans="1:6" ht="15.75" x14ac:dyDescent="0.25">
      <c r="B543" s="281"/>
      <c r="C543" s="282"/>
      <c r="D543"/>
    </row>
    <row r="544" spans="1:6" ht="15.75" x14ac:dyDescent="0.25">
      <c r="B544" s="281"/>
      <c r="C544" s="282"/>
      <c r="D544"/>
    </row>
    <row r="549" spans="1:8" x14ac:dyDescent="0.25">
      <c r="F549" s="334"/>
      <c r="G549" s="334"/>
      <c r="H549" s="334"/>
    </row>
    <row r="552" spans="1:8" x14ac:dyDescent="0.25">
      <c r="A552" s="38"/>
      <c r="B552" s="38"/>
      <c r="C552" s="38"/>
      <c r="D552" s="38"/>
    </row>
    <row r="593" spans="1:18" ht="30" x14ac:dyDescent="0.25">
      <c r="A593" s="338" t="s">
        <v>835</v>
      </c>
      <c r="B593" s="339" t="s">
        <v>836</v>
      </c>
      <c r="C593" s="339" t="s">
        <v>837</v>
      </c>
    </row>
    <row r="594" spans="1:18" x14ac:dyDescent="0.25">
      <c r="A594" s="465" t="s">
        <v>838</v>
      </c>
      <c r="B594" s="465">
        <v>28</v>
      </c>
      <c r="C594" s="465">
        <v>22</v>
      </c>
    </row>
    <row r="595" spans="1:18" x14ac:dyDescent="0.25">
      <c r="A595" s="465" t="s">
        <v>839</v>
      </c>
      <c r="B595" s="465">
        <v>20</v>
      </c>
      <c r="C595" s="465">
        <v>14</v>
      </c>
    </row>
    <row r="597" spans="1:18" ht="15.75" thickBot="1" x14ac:dyDescent="0.3">
      <c r="B597" s="188"/>
      <c r="C597"/>
      <c r="D597"/>
    </row>
    <row r="598" spans="1:18" x14ac:dyDescent="0.25">
      <c r="A598" s="606" t="s">
        <v>840</v>
      </c>
      <c r="B598" s="184"/>
      <c r="C598" s="184"/>
      <c r="D598" s="184"/>
      <c r="E598" s="185"/>
      <c r="F598" s="184"/>
      <c r="G598" s="385"/>
    </row>
    <row r="599" spans="1:18" ht="30" x14ac:dyDescent="0.25">
      <c r="A599" s="178"/>
      <c r="B599" s="243" t="s">
        <v>287</v>
      </c>
      <c r="C599" s="243" t="s">
        <v>272</v>
      </c>
      <c r="D599" s="191" t="s">
        <v>841</v>
      </c>
      <c r="E599" s="759" t="s">
        <v>2008</v>
      </c>
      <c r="F599" s="759" t="s">
        <v>2015</v>
      </c>
      <c r="G599" s="524" t="s">
        <v>842</v>
      </c>
      <c r="H599" s="73"/>
      <c r="I599" s="73"/>
      <c r="J599" s="73"/>
      <c r="K599" s="73"/>
      <c r="L599" s="73"/>
      <c r="M599" s="73"/>
      <c r="N599" s="73"/>
      <c r="O599" s="73"/>
      <c r="P599" s="73"/>
      <c r="Q599" s="73"/>
      <c r="R599" s="73"/>
    </row>
    <row r="600" spans="1:18" x14ac:dyDescent="0.25">
      <c r="A600" s="178" t="s">
        <v>843</v>
      </c>
      <c r="B600" s="760">
        <f>'AcreageTracking-MAP'!G101</f>
        <v>31.490320300314202</v>
      </c>
      <c r="C600" s="760">
        <f>'AcreageTracking-MAP'!G24</f>
        <v>175.01652936479195</v>
      </c>
      <c r="D600" s="761">
        <f>'AcreageTracking-MAP'!G15</f>
        <v>210.48498806471477</v>
      </c>
      <c r="E600" s="761">
        <f>'AcreageTracking-MAP'!G28</f>
        <v>0.784358620664519</v>
      </c>
      <c r="F600" s="761">
        <f>'AcreageTracking-MAP'!G29</f>
        <v>0.33219096069806042</v>
      </c>
      <c r="G600" s="525">
        <f>SUM(B600:F600)</f>
        <v>418.10838731118355</v>
      </c>
      <c r="H600" s="73"/>
      <c r="I600" s="73"/>
      <c r="J600" s="73"/>
      <c r="K600" s="73"/>
      <c r="L600" s="73"/>
      <c r="M600" s="73"/>
      <c r="N600" s="73"/>
      <c r="O600" s="73"/>
      <c r="P600" s="73"/>
      <c r="Q600" s="73"/>
      <c r="R600" s="73"/>
    </row>
    <row r="601" spans="1:18" x14ac:dyDescent="0.25">
      <c r="A601" s="178" t="s">
        <v>844</v>
      </c>
      <c r="B601" s="762">
        <v>28</v>
      </c>
      <c r="C601" s="762">
        <v>28</v>
      </c>
      <c r="D601" s="763">
        <v>28</v>
      </c>
      <c r="E601" s="763">
        <v>28</v>
      </c>
      <c r="F601" s="763">
        <v>28</v>
      </c>
      <c r="G601" s="526"/>
      <c r="H601" s="73"/>
      <c r="I601" s="73"/>
      <c r="J601" s="73"/>
      <c r="K601" s="73"/>
      <c r="L601" s="73"/>
      <c r="M601" s="73"/>
      <c r="N601" s="73"/>
      <c r="O601" s="73"/>
      <c r="P601" s="73"/>
      <c r="Q601" s="73"/>
      <c r="R601" s="73"/>
    </row>
    <row r="602" spans="1:18" x14ac:dyDescent="0.25">
      <c r="A602" s="178" t="s">
        <v>845</v>
      </c>
      <c r="B602" s="357">
        <f>(B600*43560*(B601/12))/27</f>
        <v>118543.56130829391</v>
      </c>
      <c r="C602" s="357">
        <f>(C600*43560*(C601/12))/27</f>
        <v>658840.00165323901</v>
      </c>
      <c r="D602" s="357">
        <f>(D600*43560*(D601/12))/27</f>
        <v>792359.0439591707</v>
      </c>
      <c r="E602" s="357">
        <f>(E600*43560*(E601/12))/27</f>
        <v>2952.6744520126563</v>
      </c>
      <c r="F602" s="357">
        <f>(F600*43560*(F601/12))/27</f>
        <v>1250.5144164944766</v>
      </c>
      <c r="G602" s="526"/>
      <c r="H602" s="73"/>
      <c r="I602" s="73"/>
      <c r="J602" s="73"/>
      <c r="K602" s="73"/>
      <c r="L602" s="73"/>
      <c r="M602" s="73"/>
      <c r="N602" s="73"/>
      <c r="O602" s="73"/>
      <c r="P602" s="73"/>
      <c r="Q602" s="73"/>
      <c r="R602" s="73"/>
    </row>
    <row r="603" spans="1:18" x14ac:dyDescent="0.25">
      <c r="A603" s="178" t="s">
        <v>1951</v>
      </c>
      <c r="B603" s="764">
        <f t="shared" ref="B603:D604" si="190">B602</f>
        <v>118543.56130829391</v>
      </c>
      <c r="C603" s="764">
        <f t="shared" si="190"/>
        <v>658840.00165323901</v>
      </c>
      <c r="D603" s="764">
        <f t="shared" si="190"/>
        <v>792359.0439591707</v>
      </c>
      <c r="E603" s="764">
        <f t="shared" ref="E603:F603" si="191">E602</f>
        <v>2952.6744520126563</v>
      </c>
      <c r="F603" s="764">
        <f t="shared" si="191"/>
        <v>1250.5144164944766</v>
      </c>
      <c r="G603" s="526"/>
      <c r="H603" s="73"/>
      <c r="I603" s="73"/>
      <c r="J603" s="73"/>
      <c r="K603" s="73"/>
      <c r="L603" s="73"/>
      <c r="M603" s="73"/>
      <c r="N603" s="73"/>
      <c r="O603" s="73"/>
      <c r="P603" s="73"/>
      <c r="Q603" s="73"/>
      <c r="R603" s="73"/>
    </row>
    <row r="604" spans="1:18" x14ac:dyDescent="0.25">
      <c r="A604" s="765" t="s">
        <v>1943</v>
      </c>
      <c r="B604" s="766">
        <f t="shared" si="190"/>
        <v>118543.56130829391</v>
      </c>
      <c r="C604" s="766">
        <f t="shared" si="190"/>
        <v>658840.00165323901</v>
      </c>
      <c r="D604" s="766">
        <f t="shared" si="190"/>
        <v>792359.0439591707</v>
      </c>
      <c r="E604" s="766">
        <f t="shared" ref="E604:F604" si="192">E603</f>
        <v>2952.6744520126563</v>
      </c>
      <c r="F604" s="766">
        <f t="shared" si="192"/>
        <v>1250.5144164944766</v>
      </c>
      <c r="G604" s="527">
        <f>SUM(B604:F604)</f>
        <v>1573945.7957892108</v>
      </c>
      <c r="H604" s="73"/>
      <c r="I604" s="73"/>
      <c r="J604" s="73"/>
      <c r="K604" s="73"/>
      <c r="L604" s="73"/>
      <c r="M604" s="73"/>
      <c r="N604" s="73"/>
      <c r="O604" s="73"/>
      <c r="P604" s="73"/>
      <c r="Q604" s="73"/>
      <c r="R604" s="73"/>
    </row>
    <row r="605" spans="1:18" x14ac:dyDescent="0.25">
      <c r="A605" s="178" t="s">
        <v>846</v>
      </c>
      <c r="B605" s="767">
        <v>3300</v>
      </c>
      <c r="C605" s="767">
        <v>3300</v>
      </c>
      <c r="D605" s="767">
        <v>3300</v>
      </c>
      <c r="E605" s="767">
        <v>3300</v>
      </c>
      <c r="F605" s="767">
        <v>3300</v>
      </c>
      <c r="G605" s="528"/>
      <c r="H605" s="73"/>
      <c r="I605" s="73"/>
      <c r="J605" s="73"/>
      <c r="K605" s="73"/>
      <c r="L605" s="73"/>
      <c r="M605" s="73"/>
      <c r="N605" s="73"/>
      <c r="O605" s="73"/>
      <c r="P605" s="73"/>
      <c r="Q605" s="73"/>
      <c r="R605" s="73"/>
    </row>
    <row r="606" spans="1:18" x14ac:dyDescent="0.25">
      <c r="A606" s="178" t="s">
        <v>847</v>
      </c>
      <c r="B606" s="768">
        <f>(B604*B605)/2000</f>
        <v>195596.87615868493</v>
      </c>
      <c r="C606" s="768">
        <f>(C604*C605)/2000</f>
        <v>1087086.0027278445</v>
      </c>
      <c r="D606" s="768">
        <f>(D604*D605)/2000</f>
        <v>1307392.4225326315</v>
      </c>
      <c r="E606" s="768">
        <f>(E604*E605)/2000</f>
        <v>4871.9128458208834</v>
      </c>
      <c r="F606" s="768">
        <f>(F604*F605)/2000</f>
        <v>2063.3487872158862</v>
      </c>
      <c r="G606" s="527">
        <f>SUM(B606:D606)</f>
        <v>2590075.3014191613</v>
      </c>
      <c r="H606" s="73"/>
      <c r="I606" s="73"/>
      <c r="J606" s="73"/>
      <c r="K606" s="73"/>
      <c r="L606" s="73"/>
      <c r="M606" s="73"/>
      <c r="N606" s="73"/>
      <c r="O606" s="73"/>
      <c r="P606" s="73"/>
      <c r="Q606" s="73"/>
      <c r="R606" s="73"/>
    </row>
    <row r="607" spans="1:18" ht="15.75" thickBot="1" x14ac:dyDescent="0.3">
      <c r="A607" s="176" t="s">
        <v>848</v>
      </c>
      <c r="B607" s="769">
        <v>5000</v>
      </c>
      <c r="C607" s="769">
        <v>5000</v>
      </c>
      <c r="D607" s="769">
        <v>8000</v>
      </c>
      <c r="E607" s="769">
        <v>1800</v>
      </c>
      <c r="F607" s="769">
        <v>4000</v>
      </c>
      <c r="G607" s="770"/>
      <c r="H607" s="73"/>
      <c r="I607" s="73"/>
      <c r="J607" s="73"/>
      <c r="K607" s="73"/>
      <c r="L607" s="73"/>
      <c r="M607" s="73"/>
      <c r="N607" s="73"/>
      <c r="O607" s="73"/>
      <c r="P607" s="73"/>
      <c r="Q607" s="73"/>
      <c r="R607" s="73"/>
    </row>
    <row r="608" spans="1:18" x14ac:dyDescent="0.25">
      <c r="A608" s="771" t="s">
        <v>849</v>
      </c>
      <c r="B608" s="689" t="s">
        <v>850</v>
      </c>
      <c r="C608" s="772">
        <v>374</v>
      </c>
      <c r="D608" s="772">
        <v>148</v>
      </c>
      <c r="E608" s="77"/>
      <c r="F608" s="73"/>
      <c r="G608" s="382"/>
      <c r="H608" s="382" t="s">
        <v>851</v>
      </c>
      <c r="I608" s="382"/>
      <c r="J608" s="73"/>
      <c r="K608" s="73"/>
      <c r="L608" s="73"/>
      <c r="M608" s="73"/>
      <c r="N608" s="73"/>
      <c r="O608" s="73"/>
      <c r="P608" s="73"/>
      <c r="Q608" s="73"/>
      <c r="R608" s="73"/>
    </row>
    <row r="609" spans="1:20" x14ac:dyDescent="0.25">
      <c r="A609" s="771" t="s">
        <v>852</v>
      </c>
      <c r="B609" s="382"/>
      <c r="C609" s="772">
        <v>1004219</v>
      </c>
      <c r="D609" s="772">
        <v>557138</v>
      </c>
      <c r="E609" s="77"/>
      <c r="F609" s="73"/>
      <c r="G609" s="382"/>
      <c r="H609" s="382" t="s">
        <v>851</v>
      </c>
      <c r="I609" s="382"/>
      <c r="J609" s="73"/>
      <c r="K609" s="73"/>
      <c r="L609" s="73"/>
      <c r="M609" s="73"/>
      <c r="N609" s="73"/>
      <c r="O609" s="73"/>
      <c r="P609" s="73"/>
      <c r="Q609" s="73"/>
      <c r="R609" s="73"/>
    </row>
    <row r="610" spans="1:20" x14ac:dyDescent="0.25">
      <c r="A610" s="73"/>
      <c r="B610" s="188"/>
      <c r="C610" s="198"/>
      <c r="D610" s="73"/>
      <c r="E610" s="73"/>
      <c r="F610" s="73"/>
      <c r="G610" s="73"/>
      <c r="H610" s="73"/>
      <c r="I610" s="73"/>
      <c r="J610" s="73"/>
      <c r="K610" s="73"/>
      <c r="L610" s="73"/>
      <c r="M610" s="73"/>
      <c r="N610" s="73"/>
      <c r="O610" s="73"/>
      <c r="P610" s="73"/>
      <c r="Q610" s="73"/>
      <c r="R610" s="73"/>
    </row>
    <row r="611" spans="1:20" ht="15.75" thickBot="1" x14ac:dyDescent="0.3">
      <c r="A611" s="73"/>
      <c r="B611" s="188"/>
      <c r="C611" s="198"/>
      <c r="D611" s="73"/>
      <c r="E611" s="73"/>
      <c r="F611" s="73"/>
      <c r="G611" s="73"/>
      <c r="H611" s="73"/>
      <c r="I611" s="73"/>
      <c r="J611" s="73"/>
      <c r="K611" s="73"/>
      <c r="L611" s="73"/>
      <c r="M611" s="73"/>
      <c r="N611" s="73"/>
      <c r="O611" s="73"/>
      <c r="P611" s="73"/>
      <c r="Q611" s="73"/>
      <c r="R611" s="73"/>
    </row>
    <row r="612" spans="1:20" x14ac:dyDescent="0.25">
      <c r="A612" s="773" t="s">
        <v>853</v>
      </c>
      <c r="B612" s="597"/>
      <c r="C612" s="598"/>
      <c r="D612" s="598"/>
      <c r="E612" s="598"/>
      <c r="F612" s="598"/>
      <c r="G612" s="598" t="s">
        <v>854</v>
      </c>
      <c r="H612" s="597"/>
      <c r="I612" s="598" t="s">
        <v>854</v>
      </c>
      <c r="J612" s="597"/>
      <c r="K612" s="598" t="s">
        <v>854</v>
      </c>
      <c r="L612" s="597"/>
      <c r="M612" s="598" t="s">
        <v>854</v>
      </c>
      <c r="N612" s="597"/>
      <c r="O612" s="598" t="s">
        <v>854</v>
      </c>
      <c r="P612" s="598"/>
      <c r="Q612" s="598"/>
      <c r="R612" s="599"/>
    </row>
    <row r="613" spans="1:20" ht="43.15" customHeight="1" x14ac:dyDescent="0.25">
      <c r="A613" s="178"/>
      <c r="B613" s="774" t="s">
        <v>855</v>
      </c>
      <c r="C613" s="775" t="s">
        <v>856</v>
      </c>
      <c r="D613" s="775" t="s">
        <v>319</v>
      </c>
      <c r="E613" s="775" t="s">
        <v>320</v>
      </c>
      <c r="F613" s="775" t="s">
        <v>857</v>
      </c>
      <c r="G613" s="775" t="s">
        <v>858</v>
      </c>
      <c r="H613" s="775" t="s">
        <v>859</v>
      </c>
      <c r="I613" s="775" t="s">
        <v>860</v>
      </c>
      <c r="J613" s="775" t="s">
        <v>861</v>
      </c>
      <c r="K613" s="775" t="s">
        <v>862</v>
      </c>
      <c r="L613" s="775" t="s">
        <v>863</v>
      </c>
      <c r="M613" s="775" t="s">
        <v>864</v>
      </c>
      <c r="N613" s="775" t="s">
        <v>865</v>
      </c>
      <c r="O613" s="775" t="s">
        <v>866</v>
      </c>
      <c r="P613" s="775" t="s">
        <v>1933</v>
      </c>
      <c r="Q613" s="874" t="s">
        <v>2059</v>
      </c>
      <c r="R613" s="875" t="s">
        <v>842</v>
      </c>
    </row>
    <row r="614" spans="1:20" ht="30" x14ac:dyDescent="0.25">
      <c r="A614" s="178" t="s">
        <v>843</v>
      </c>
      <c r="B614" s="776">
        <v>0</v>
      </c>
      <c r="C614" s="761">
        <f>'AcreageTracking-MAP'!G22</f>
        <v>7.5139108462934416</v>
      </c>
      <c r="D614" s="73" t="s">
        <v>2156</v>
      </c>
      <c r="E614" s="761"/>
      <c r="F614" s="761">
        <f>'AcreageTracking-MAP'!G34</f>
        <v>7</v>
      </c>
      <c r="G614" s="761">
        <f>'AcreageTracking-MAP'!G33</f>
        <v>7.6696761722532969</v>
      </c>
      <c r="H614" s="759" t="s">
        <v>867</v>
      </c>
      <c r="I614" s="777">
        <f>'AcreageTracking-MAP'!G43</f>
        <v>34.429741567848929</v>
      </c>
      <c r="J614" s="777">
        <f>'AcreageTracking-MAP'!G52</f>
        <v>18.120137530582941</v>
      </c>
      <c r="K614" s="777">
        <f>'AcreageTracking-MAP'!G51</f>
        <v>43.305343252679691</v>
      </c>
      <c r="L614" s="777">
        <f>'AcreageTracking-MAP'!G50</f>
        <v>26.590398438659477</v>
      </c>
      <c r="M614" s="777">
        <f>'AcreageTracking-MAP'!G49</f>
        <v>63.746302234442659</v>
      </c>
      <c r="N614" s="777">
        <f>'AcreageTracking-MAP'!G35</f>
        <v>29.358257740279139</v>
      </c>
      <c r="O614" s="777">
        <f>'AcreageTracking-MAP'!G36</f>
        <v>14.637118770631046</v>
      </c>
      <c r="P614" s="777">
        <f>'AcreageTracking-MAP'!G44</f>
        <v>11.945298801659563</v>
      </c>
      <c r="Q614" s="777">
        <f>'AcreageTracking-MAP'!G45</f>
        <v>12.310011391775721</v>
      </c>
      <c r="R614" s="876">
        <f>SUM(B614:P614)</f>
        <v>264.31618535533016</v>
      </c>
    </row>
    <row r="615" spans="1:20" x14ac:dyDescent="0.25">
      <c r="A615" s="178" t="s">
        <v>844</v>
      </c>
      <c r="B615" s="778" t="s">
        <v>868</v>
      </c>
      <c r="C615" s="763">
        <v>28</v>
      </c>
      <c r="D615" s="763"/>
      <c r="E615" s="763"/>
      <c r="F615" s="763">
        <v>28</v>
      </c>
      <c r="G615" s="763">
        <v>20</v>
      </c>
      <c r="H615" s="763">
        <v>28</v>
      </c>
      <c r="I615" s="763">
        <v>20</v>
      </c>
      <c r="J615" s="763">
        <v>28</v>
      </c>
      <c r="K615" s="763">
        <v>20</v>
      </c>
      <c r="L615" s="763">
        <v>28</v>
      </c>
      <c r="M615" s="763">
        <v>20</v>
      </c>
      <c r="N615" s="357">
        <v>28</v>
      </c>
      <c r="O615" s="357">
        <v>20</v>
      </c>
      <c r="P615" s="357">
        <v>28</v>
      </c>
      <c r="Q615" s="763">
        <v>28</v>
      </c>
      <c r="R615" s="183"/>
    </row>
    <row r="616" spans="1:20" x14ac:dyDescent="0.25">
      <c r="A616" s="178" t="s">
        <v>845</v>
      </c>
      <c r="B616" s="779"/>
      <c r="C616" s="779">
        <f>(C614*43560*(C615/12))/27</f>
        <v>28285.6999413802</v>
      </c>
      <c r="D616" s="877"/>
      <c r="E616" s="877"/>
      <c r="F616" s="877">
        <f>(F614*43560*(F615/12))/27</f>
        <v>26351.111111111109</v>
      </c>
      <c r="G616" s="877">
        <f>(G614*43560*(G615/12))/27</f>
        <v>20622.907040947754</v>
      </c>
      <c r="H616" s="878"/>
      <c r="I616" s="877">
        <f t="shared" ref="I616:N616" si="193">(I614*43560*(I615/12))/27</f>
        <v>92577.749549104905</v>
      </c>
      <c r="J616" s="877">
        <f t="shared" si="193"/>
        <v>68212.251059572227</v>
      </c>
      <c r="K616" s="877">
        <f t="shared" si="193"/>
        <v>116443.25630164985</v>
      </c>
      <c r="L616" s="877">
        <f t="shared" si="193"/>
        <v>100098.07767797589</v>
      </c>
      <c r="M616" s="877">
        <f t="shared" si="193"/>
        <v>171406.72378594583</v>
      </c>
      <c r="N616" s="877">
        <f t="shared" si="193"/>
        <v>110517.53024896194</v>
      </c>
      <c r="O616" s="877">
        <f>(O614*43560*(O615/12))/27</f>
        <v>39357.586027696816</v>
      </c>
      <c r="P616" s="877">
        <f t="shared" ref="P616" si="194">(P614*43560*(P615/12))/27</f>
        <v>44967.413711136222</v>
      </c>
      <c r="Q616" s="877">
        <f>(Q614*43560*(Q615/12))/27</f>
        <v>46340.353994817939</v>
      </c>
      <c r="R616" s="183"/>
    </row>
    <row r="617" spans="1:20" x14ac:dyDescent="0.25">
      <c r="A617" s="178" t="s">
        <v>1951</v>
      </c>
      <c r="B617" s="779"/>
      <c r="C617" s="779">
        <f t="shared" ref="C617:C618" si="195">C616</f>
        <v>28285.6999413802</v>
      </c>
      <c r="D617" s="877"/>
      <c r="E617" s="877"/>
      <c r="F617" s="877">
        <f>F616+G616</f>
        <v>46974.018152058867</v>
      </c>
      <c r="G617" s="878" t="s">
        <v>869</v>
      </c>
      <c r="H617" s="877">
        <f>H616+I616</f>
        <v>92577.749549104905</v>
      </c>
      <c r="I617" s="878" t="s">
        <v>869</v>
      </c>
      <c r="J617" s="877">
        <f>J616+K616</f>
        <v>184655.50736122206</v>
      </c>
      <c r="K617" s="878" t="s">
        <v>869</v>
      </c>
      <c r="L617" s="877">
        <f>L616+M616</f>
        <v>271504.80146392173</v>
      </c>
      <c r="M617" s="878" t="s">
        <v>869</v>
      </c>
      <c r="N617" s="877">
        <f>N616+O616</f>
        <v>149875.11627665875</v>
      </c>
      <c r="O617" s="878" t="s">
        <v>869</v>
      </c>
      <c r="P617" s="877">
        <f>P616+Q616</f>
        <v>91307.76770595416</v>
      </c>
      <c r="Q617" s="878" t="s">
        <v>869</v>
      </c>
      <c r="R617" s="876"/>
    </row>
    <row r="618" spans="1:20" x14ac:dyDescent="0.25">
      <c r="A618" s="765" t="s">
        <v>1943</v>
      </c>
      <c r="B618" s="780"/>
      <c r="C618" s="766">
        <f t="shared" si="195"/>
        <v>28285.6999413802</v>
      </c>
      <c r="D618" s="766"/>
      <c r="E618" s="766"/>
      <c r="F618" s="766">
        <f>F617</f>
        <v>46974.018152058867</v>
      </c>
      <c r="G618" s="780"/>
      <c r="H618" s="766">
        <f>H617</f>
        <v>92577.749549104905</v>
      </c>
      <c r="I618" s="780"/>
      <c r="J618" s="766">
        <f>J617</f>
        <v>184655.50736122206</v>
      </c>
      <c r="K618" s="780"/>
      <c r="L618" s="766">
        <f>L617</f>
        <v>271504.80146392173</v>
      </c>
      <c r="M618" s="780"/>
      <c r="N618" s="766">
        <f>N617</f>
        <v>149875.11627665875</v>
      </c>
      <c r="O618" s="781"/>
      <c r="P618" s="766">
        <f>P617</f>
        <v>91307.76770595416</v>
      </c>
      <c r="Q618" s="766"/>
      <c r="R618" s="876">
        <f>SUM(B618:P618)</f>
        <v>865180.66045030055</v>
      </c>
    </row>
    <row r="619" spans="1:20" x14ac:dyDescent="0.25">
      <c r="A619" s="178" t="s">
        <v>846</v>
      </c>
      <c r="B619" s="762"/>
      <c r="C619" s="767">
        <v>3300</v>
      </c>
      <c r="D619" s="767"/>
      <c r="E619" s="767"/>
      <c r="F619" s="767">
        <v>3300</v>
      </c>
      <c r="G619" s="762"/>
      <c r="H619" s="767">
        <v>3300</v>
      </c>
      <c r="I619" s="762"/>
      <c r="J619" s="767">
        <v>3300</v>
      </c>
      <c r="K619" s="762"/>
      <c r="L619" s="767">
        <v>3300</v>
      </c>
      <c r="M619" s="762"/>
      <c r="N619" s="767">
        <v>3300</v>
      </c>
      <c r="O619" s="782"/>
      <c r="P619" s="767">
        <v>3300</v>
      </c>
      <c r="Q619" s="767"/>
      <c r="R619" s="183"/>
    </row>
    <row r="620" spans="1:20" x14ac:dyDescent="0.25">
      <c r="A620" s="765" t="s">
        <v>847</v>
      </c>
      <c r="B620" s="762"/>
      <c r="C620" s="768">
        <f>(C618*C619)/2000</f>
        <v>46671.404903277333</v>
      </c>
      <c r="D620" s="768"/>
      <c r="E620" s="768"/>
      <c r="F620" s="768">
        <f>(F618*F619)/2000</f>
        <v>77507.129950897128</v>
      </c>
      <c r="G620" s="780"/>
      <c r="H620" s="768">
        <f>(H618*H619)/2000</f>
        <v>152753.28675602307</v>
      </c>
      <c r="I620" s="780"/>
      <c r="J620" s="768">
        <f>(J618*J619)/2000</f>
        <v>304681.58714601642</v>
      </c>
      <c r="K620" s="780"/>
      <c r="L620" s="768">
        <f>(L618*L619)/2000</f>
        <v>447982.92241547082</v>
      </c>
      <c r="M620" s="780"/>
      <c r="N620" s="768">
        <f>(N618*N619)/2000</f>
        <v>247293.94185648696</v>
      </c>
      <c r="O620" s="781"/>
      <c r="P620" s="768">
        <f>(P618*P619)/2000</f>
        <v>150657.81671482438</v>
      </c>
      <c r="Q620" s="768"/>
      <c r="R620" s="876">
        <f>SUM(B620:P620)</f>
        <v>1427548.089742996</v>
      </c>
    </row>
    <row r="621" spans="1:20" ht="15.75" thickBot="1" x14ac:dyDescent="0.3">
      <c r="A621" s="783" t="s">
        <v>848</v>
      </c>
      <c r="B621" s="784"/>
      <c r="C621" s="769">
        <v>9500</v>
      </c>
      <c r="D621" s="879"/>
      <c r="E621" s="879"/>
      <c r="F621" s="880">
        <v>11000</v>
      </c>
      <c r="G621" s="881"/>
      <c r="H621" s="880">
        <v>3500</v>
      </c>
      <c r="I621" s="881"/>
      <c r="J621" s="880">
        <v>3500</v>
      </c>
      <c r="K621" s="881"/>
      <c r="L621" s="880">
        <v>2000</v>
      </c>
      <c r="M621" s="881"/>
      <c r="N621" s="880">
        <v>13200</v>
      </c>
      <c r="O621" s="882"/>
      <c r="P621" s="880">
        <v>13200</v>
      </c>
      <c r="Q621" s="880"/>
      <c r="R621" s="883"/>
    </row>
    <row r="622" spans="1:20" x14ac:dyDescent="0.25">
      <c r="A622" s="771" t="s">
        <v>849</v>
      </c>
      <c r="B622" s="391"/>
      <c r="C622" s="602"/>
      <c r="D622" s="602"/>
      <c r="E622" s="602"/>
      <c r="F622" s="382" t="s">
        <v>618</v>
      </c>
      <c r="G622" s="382"/>
      <c r="H622" s="785"/>
      <c r="I622" s="785"/>
      <c r="J622" s="785"/>
      <c r="K622" s="785"/>
      <c r="L622" s="785"/>
      <c r="M622" s="785"/>
      <c r="N622" s="382"/>
      <c r="O622" s="391" t="s">
        <v>870</v>
      </c>
      <c r="P622" s="391"/>
      <c r="Q622" s="391"/>
      <c r="R622" s="335">
        <v>869</v>
      </c>
      <c r="S622" s="49" t="s">
        <v>871</v>
      </c>
      <c r="T622" s="49"/>
    </row>
    <row r="623" spans="1:20" x14ac:dyDescent="0.25">
      <c r="A623" s="771" t="s">
        <v>852</v>
      </c>
      <c r="B623" s="382"/>
      <c r="C623" s="786"/>
      <c r="D623" s="786"/>
      <c r="E623" s="786"/>
      <c r="F623" s="786"/>
      <c r="G623" s="787"/>
      <c r="H623" s="786"/>
      <c r="I623" s="382"/>
      <c r="J623" s="382"/>
      <c r="K623" s="382"/>
      <c r="L623" s="382"/>
      <c r="M623" s="382"/>
      <c r="N623" s="382"/>
      <c r="O623" s="382"/>
      <c r="P623" s="382"/>
      <c r="Q623" s="382"/>
      <c r="R623" s="335">
        <v>2641107</v>
      </c>
      <c r="S623" s="49" t="s">
        <v>871</v>
      </c>
      <c r="T623" s="49"/>
    </row>
    <row r="624" spans="1:20" x14ac:dyDescent="0.25">
      <c r="A624" s="788"/>
      <c r="B624" s="188"/>
      <c r="C624" s="198"/>
      <c r="D624" s="198"/>
      <c r="E624" s="198"/>
      <c r="F624" s="73"/>
      <c r="G624" s="73"/>
      <c r="H624" s="73"/>
      <c r="I624" s="73"/>
      <c r="J624" s="73"/>
      <c r="K624" s="73"/>
      <c r="L624" s="73"/>
      <c r="M624" s="73"/>
      <c r="N624" s="73"/>
      <c r="O624" s="73"/>
      <c r="P624" s="73"/>
      <c r="Q624" s="73"/>
      <c r="R624" s="73"/>
    </row>
    <row r="625" spans="1:18" ht="15.75" thickBot="1" x14ac:dyDescent="0.3">
      <c r="A625" s="788"/>
      <c r="B625" s="188"/>
      <c r="C625" s="198"/>
      <c r="D625" s="73"/>
      <c r="E625" s="73"/>
      <c r="F625" s="73"/>
      <c r="G625" s="73"/>
      <c r="H625" s="73"/>
      <c r="I625" s="73"/>
      <c r="J625" s="73"/>
      <c r="K625" s="73"/>
      <c r="L625" s="73"/>
      <c r="M625" s="73"/>
      <c r="N625" s="73"/>
      <c r="O625" s="73"/>
      <c r="P625" s="73"/>
      <c r="Q625" s="73"/>
      <c r="R625" s="73"/>
    </row>
    <row r="626" spans="1:18" ht="15.75" thickBot="1" x14ac:dyDescent="0.3">
      <c r="A626" s="773" t="s">
        <v>872</v>
      </c>
      <c r="B626" s="597"/>
      <c r="C626" s="597"/>
      <c r="D626" s="383"/>
      <c r="E626" s="597"/>
      <c r="F626" s="597"/>
      <c r="G626" s="597"/>
      <c r="H626" s="597" t="s">
        <v>873</v>
      </c>
      <c r="I626" s="597"/>
      <c r="J626" s="597"/>
      <c r="K626" s="597"/>
      <c r="L626" s="599"/>
      <c r="M626" s="73"/>
      <c r="N626" s="73"/>
      <c r="O626" s="73"/>
      <c r="P626" s="73"/>
      <c r="Q626" s="73"/>
      <c r="R626" s="73"/>
    </row>
    <row r="627" spans="1:18" x14ac:dyDescent="0.25">
      <c r="A627" s="178"/>
      <c r="B627" s="789" t="s">
        <v>874</v>
      </c>
      <c r="C627" s="790" t="s">
        <v>874</v>
      </c>
      <c r="D627" s="791" t="s">
        <v>874</v>
      </c>
      <c r="E627" s="789" t="s">
        <v>875</v>
      </c>
      <c r="F627" s="790" t="s">
        <v>875</v>
      </c>
      <c r="G627" s="791" t="s">
        <v>875</v>
      </c>
      <c r="H627" s="789" t="s">
        <v>815</v>
      </c>
      <c r="I627" s="790" t="s">
        <v>815</v>
      </c>
      <c r="J627" s="790" t="s">
        <v>815</v>
      </c>
      <c r="K627" s="790" t="s">
        <v>815</v>
      </c>
      <c r="L627" s="791" t="s">
        <v>815</v>
      </c>
      <c r="M627" s="73"/>
      <c r="N627" s="73"/>
      <c r="O627" s="73"/>
      <c r="P627" s="73"/>
      <c r="Q627" s="73"/>
      <c r="R627" s="73"/>
    </row>
    <row r="628" spans="1:18" ht="30" x14ac:dyDescent="0.25">
      <c r="A628" s="792" t="s">
        <v>876</v>
      </c>
      <c r="B628" s="793" t="s">
        <v>877</v>
      </c>
      <c r="C628" s="794" t="s">
        <v>878</v>
      </c>
      <c r="D628" s="795" t="s">
        <v>879</v>
      </c>
      <c r="E628" s="793" t="s">
        <v>877</v>
      </c>
      <c r="F628" s="794" t="s">
        <v>878</v>
      </c>
      <c r="G628" s="795" t="s">
        <v>879</v>
      </c>
      <c r="H628" s="793" t="s">
        <v>877</v>
      </c>
      <c r="I628" s="794" t="s">
        <v>880</v>
      </c>
      <c r="J628" s="794" t="s">
        <v>881</v>
      </c>
      <c r="K628" s="794" t="s">
        <v>878</v>
      </c>
      <c r="L628" s="795" t="s">
        <v>879</v>
      </c>
      <c r="M628" s="73"/>
      <c r="N628" s="73"/>
      <c r="O628" s="73"/>
      <c r="P628" s="73"/>
      <c r="Q628" s="73"/>
      <c r="R628" s="73"/>
    </row>
    <row r="629" spans="1:18" x14ac:dyDescent="0.25">
      <c r="A629" s="178" t="s">
        <v>882</v>
      </c>
      <c r="B629" s="796">
        <v>0</v>
      </c>
      <c r="C629" s="189" t="s">
        <v>50</v>
      </c>
      <c r="D629" s="797" t="s">
        <v>50</v>
      </c>
      <c r="E629" s="796">
        <f>0*1.12</f>
        <v>0</v>
      </c>
      <c r="F629" s="189" t="s">
        <v>50</v>
      </c>
      <c r="G629" s="797" t="s">
        <v>50</v>
      </c>
      <c r="H629" s="796">
        <f>0*1.12</f>
        <v>0</v>
      </c>
      <c r="I629" s="189" t="s">
        <v>50</v>
      </c>
      <c r="J629" s="189" t="s">
        <v>50</v>
      </c>
      <c r="K629" s="189" t="s">
        <v>50</v>
      </c>
      <c r="L629" s="798" t="s">
        <v>50</v>
      </c>
      <c r="M629" s="73"/>
      <c r="N629" s="73"/>
      <c r="O629" s="73"/>
      <c r="P629" s="73"/>
      <c r="Q629" s="73"/>
      <c r="R629" s="73"/>
    </row>
    <row r="630" spans="1:18" x14ac:dyDescent="0.25">
      <c r="A630" s="178" t="s">
        <v>883</v>
      </c>
      <c r="B630" s="796">
        <v>0</v>
      </c>
      <c r="C630" s="189" t="s">
        <v>50</v>
      </c>
      <c r="D630" s="797" t="s">
        <v>50</v>
      </c>
      <c r="E630" s="796">
        <f>0*1.08</f>
        <v>0</v>
      </c>
      <c r="F630" s="189" t="s">
        <v>50</v>
      </c>
      <c r="G630" s="797" t="s">
        <v>50</v>
      </c>
      <c r="H630" s="799">
        <f>'AcreageTracking-MAP'!G77</f>
        <v>6.1444673123708053</v>
      </c>
      <c r="I630" s="189" t="s">
        <v>50</v>
      </c>
      <c r="J630" s="189" t="s">
        <v>50</v>
      </c>
      <c r="K630" s="189">
        <v>20</v>
      </c>
      <c r="L630" s="800">
        <f>(H630*43560*(K630/12))/27</f>
        <v>16521.78988437483</v>
      </c>
      <c r="M630" s="73"/>
      <c r="N630" s="73"/>
      <c r="O630" s="73"/>
      <c r="P630" s="73"/>
      <c r="Q630" s="73"/>
      <c r="R630" s="73"/>
    </row>
    <row r="631" spans="1:18" x14ac:dyDescent="0.25">
      <c r="A631" s="178" t="s">
        <v>884</v>
      </c>
      <c r="B631" s="799">
        <f>'AcreageTracking-MAP'!G60</f>
        <v>51.357805462957558</v>
      </c>
      <c r="C631" s="189">
        <v>20</v>
      </c>
      <c r="D631" s="798">
        <f>(B631*43560*(C631/12))/27</f>
        <v>138095.43246706366</v>
      </c>
      <c r="E631" s="799">
        <f>'AcreageTracking-MAP'!G61</f>
        <v>1.7446482250644988</v>
      </c>
      <c r="F631" s="189">
        <v>20</v>
      </c>
      <c r="G631" s="798">
        <f>(E631*43560*(F631/12))/27</f>
        <v>4691.1652273956524</v>
      </c>
      <c r="H631" s="799">
        <f>'AcreageTracking-MAP'!G62</f>
        <v>0.5773818126980349</v>
      </c>
      <c r="I631" s="189" t="s">
        <v>50</v>
      </c>
      <c r="J631" s="189" t="s">
        <v>50</v>
      </c>
      <c r="K631" s="189">
        <v>20</v>
      </c>
      <c r="L631" s="800">
        <f t="shared" ref="L631:L634" si="196">(H631*43560*(K631/12))/27</f>
        <v>1552.5155408102717</v>
      </c>
      <c r="M631" s="73"/>
      <c r="N631" s="73"/>
      <c r="O631" s="73"/>
      <c r="P631" s="73"/>
      <c r="Q631" s="73"/>
      <c r="R631" s="73"/>
    </row>
    <row r="632" spans="1:18" x14ac:dyDescent="0.25">
      <c r="A632" s="178" t="s">
        <v>885</v>
      </c>
      <c r="B632" s="799">
        <f>'AcreageTracking-MAP'!G71</f>
        <v>7.9254020961586269</v>
      </c>
      <c r="C632" s="189">
        <v>20</v>
      </c>
      <c r="D632" s="798">
        <f>(B632*43560*(C632/12))/27</f>
        <v>21310.525636337643</v>
      </c>
      <c r="E632" s="799">
        <f>'AcreageTracking-MAP'!G72</f>
        <v>0.80739424319484321</v>
      </c>
      <c r="F632" s="189">
        <v>20</v>
      </c>
      <c r="G632" s="798">
        <f>(E632*43560*(F632/12))/27</f>
        <v>2170.9934094794676</v>
      </c>
      <c r="H632" s="799">
        <f>'AcreageTracking-MAP'!G73</f>
        <v>10.694777782512345</v>
      </c>
      <c r="I632" s="189" t="s">
        <v>50</v>
      </c>
      <c r="J632" s="189" t="s">
        <v>50</v>
      </c>
      <c r="K632" s="189">
        <v>20</v>
      </c>
      <c r="L632" s="800">
        <f t="shared" si="196"/>
        <v>28757.069148533192</v>
      </c>
      <c r="M632" s="73"/>
      <c r="N632" s="73"/>
      <c r="O632" s="73"/>
      <c r="P632" s="73"/>
      <c r="Q632" s="73"/>
      <c r="R632" s="73"/>
    </row>
    <row r="633" spans="1:18" x14ac:dyDescent="0.25">
      <c r="A633" s="178" t="s">
        <v>886</v>
      </c>
      <c r="B633" s="799">
        <v>0</v>
      </c>
      <c r="C633" s="189" t="s">
        <v>50</v>
      </c>
      <c r="D633" s="797" t="s">
        <v>50</v>
      </c>
      <c r="E633" s="799">
        <v>0</v>
      </c>
      <c r="F633" s="189" t="s">
        <v>50</v>
      </c>
      <c r="G633" s="798" t="s">
        <v>50</v>
      </c>
      <c r="H633" s="799">
        <f>'AcreageTracking-MAP'!G66</f>
        <v>5.9969928463933151</v>
      </c>
      <c r="I633" s="189">
        <v>6</v>
      </c>
      <c r="J633" s="487">
        <f>(H633*43560*(I633/12))/27</f>
        <v>4837.5742294239408</v>
      </c>
      <c r="K633" s="189">
        <v>14</v>
      </c>
      <c r="L633" s="800">
        <f>(H633*43560*(K633/12))/27</f>
        <v>11287.673201989195</v>
      </c>
      <c r="M633" s="295" t="s">
        <v>2177</v>
      </c>
      <c r="N633" s="73"/>
      <c r="O633" s="73"/>
      <c r="P633" s="73"/>
      <c r="Q633" s="73"/>
      <c r="R633" s="73"/>
    </row>
    <row r="634" spans="1:18" ht="15.75" thickBot="1" x14ac:dyDescent="0.3">
      <c r="A634" s="178" t="s">
        <v>887</v>
      </c>
      <c r="B634" s="801">
        <f>'AcreageTracking-MAP'!G56</f>
        <v>42.621349138958863</v>
      </c>
      <c r="C634" s="802">
        <v>28</v>
      </c>
      <c r="D634" s="803">
        <f>(B634*43560*(C634/12))/27</f>
        <v>160445.70098088071</v>
      </c>
      <c r="E634" s="801">
        <f>'AcreageTracking-MAP'!G57</f>
        <v>5.8198192688103072</v>
      </c>
      <c r="F634" s="802">
        <v>28</v>
      </c>
      <c r="G634" s="803">
        <f>(E634*43560*(F634/12))/27</f>
        <v>21908.386314143689</v>
      </c>
      <c r="H634" s="801">
        <f>'AcreageTracking-MAP'!G58</f>
        <v>67.377730871138837</v>
      </c>
      <c r="I634" s="802" t="s">
        <v>50</v>
      </c>
      <c r="J634" s="802" t="s">
        <v>50</v>
      </c>
      <c r="K634" s="802">
        <v>28</v>
      </c>
      <c r="L634" s="803">
        <f t="shared" si="196"/>
        <v>253639.72465713156</v>
      </c>
      <c r="M634" s="73"/>
      <c r="N634" s="73"/>
      <c r="O634" s="73"/>
      <c r="P634" s="73"/>
      <c r="Q634" s="73"/>
      <c r="R634" s="73"/>
    </row>
    <row r="635" spans="1:18" x14ac:dyDescent="0.25">
      <c r="A635" s="804" t="s">
        <v>578</v>
      </c>
      <c r="B635" s="805">
        <f>SUM(B629:B634)</f>
        <v>101.90455669807506</v>
      </c>
      <c r="C635" s="77"/>
      <c r="D635" s="806">
        <f>SUM(D629:D634)</f>
        <v>319851.659084282</v>
      </c>
      <c r="E635" s="805">
        <f>SUM(E629:E634)</f>
        <v>8.3718617370696489</v>
      </c>
      <c r="F635" s="77"/>
      <c r="G635" s="806">
        <f>SUM(G629:G634)</f>
        <v>28770.544951018808</v>
      </c>
      <c r="H635" s="805">
        <f>SUM(H629:H634)</f>
        <v>90.791350625113338</v>
      </c>
      <c r="I635" s="77"/>
      <c r="J635" s="806">
        <f>SUM(J629:J634)</f>
        <v>4837.5742294239408</v>
      </c>
      <c r="K635" s="77"/>
      <c r="L635" s="807">
        <f>SUM(L629:L634)</f>
        <v>311758.77243283903</v>
      </c>
      <c r="M635" s="73"/>
      <c r="N635" s="73"/>
      <c r="O635" s="73"/>
      <c r="P635" s="73"/>
      <c r="Q635" s="73"/>
      <c r="R635" s="73"/>
    </row>
    <row r="636" spans="1:18" x14ac:dyDescent="0.25">
      <c r="A636" s="178"/>
      <c r="B636" s="77"/>
      <c r="C636" s="77"/>
      <c r="D636" s="77"/>
      <c r="E636" s="73"/>
      <c r="F636" s="73"/>
      <c r="G636" s="73"/>
      <c r="H636" s="73"/>
      <c r="I636" s="73"/>
      <c r="J636" s="73"/>
      <c r="K636" s="73"/>
      <c r="L636" s="183"/>
      <c r="M636" s="73"/>
      <c r="N636" s="73"/>
      <c r="O636" s="73"/>
      <c r="P636" s="73"/>
      <c r="Q636" s="73"/>
      <c r="R636" s="73"/>
    </row>
    <row r="637" spans="1:18" x14ac:dyDescent="0.25">
      <c r="A637" s="178"/>
      <c r="B637" s="73"/>
      <c r="C637" s="77"/>
      <c r="D637" s="77"/>
      <c r="E637" s="77"/>
      <c r="F637" s="73" t="s">
        <v>888</v>
      </c>
      <c r="G637" s="73"/>
      <c r="H637" s="232"/>
      <c r="I637" s="73"/>
      <c r="J637" s="73"/>
      <c r="K637" s="73"/>
      <c r="L637" s="183"/>
      <c r="M637" s="73"/>
      <c r="N637" s="73"/>
      <c r="O637" s="73"/>
      <c r="P637" s="73"/>
      <c r="Q637" s="73"/>
      <c r="R637" s="73"/>
    </row>
    <row r="638" spans="1:18" ht="30" x14ac:dyDescent="0.25">
      <c r="A638" s="178"/>
      <c r="B638" s="808" t="s">
        <v>889</v>
      </c>
      <c r="C638" s="808" t="s">
        <v>890</v>
      </c>
      <c r="D638" s="808" t="s">
        <v>874</v>
      </c>
      <c r="E638" s="808" t="s">
        <v>875</v>
      </c>
      <c r="F638" s="808" t="s">
        <v>815</v>
      </c>
      <c r="G638" s="529" t="s">
        <v>842</v>
      </c>
      <c r="H638" s="73"/>
      <c r="I638" s="73"/>
      <c r="J638" s="73"/>
      <c r="K638" s="73"/>
      <c r="L638" s="183"/>
      <c r="M638" s="73"/>
      <c r="N638" s="73"/>
      <c r="O638" s="73"/>
      <c r="P638" s="73"/>
      <c r="Q638" s="73"/>
      <c r="R638" s="73"/>
    </row>
    <row r="639" spans="1:18" x14ac:dyDescent="0.25">
      <c r="A639" s="178" t="s">
        <v>891</v>
      </c>
      <c r="B639" s="777">
        <f>'AcreageTracking-MAP'!G82</f>
        <v>735.55016220001869</v>
      </c>
      <c r="C639" s="808"/>
      <c r="D639" s="808"/>
      <c r="E639" s="808"/>
      <c r="F639" s="808"/>
      <c r="G639" s="73"/>
      <c r="H639" s="73"/>
      <c r="I639" s="73"/>
      <c r="J639" s="73"/>
      <c r="K639" s="73"/>
      <c r="L639" s="183"/>
      <c r="M639" s="73"/>
      <c r="N639" s="73"/>
      <c r="O639" s="73"/>
      <c r="P639" s="73"/>
      <c r="Q639" s="73"/>
      <c r="R639" s="73"/>
    </row>
    <row r="640" spans="1:18" x14ac:dyDescent="0.25">
      <c r="A640" s="178" t="s">
        <v>892</v>
      </c>
      <c r="B640" s="809">
        <f>B639-B641</f>
        <v>370.05016220001869</v>
      </c>
      <c r="C640" s="810"/>
      <c r="D640" s="777"/>
      <c r="E640" s="777"/>
      <c r="F640" s="811"/>
      <c r="G640" s="73"/>
      <c r="H640" s="73"/>
      <c r="I640" s="73"/>
      <c r="J640" s="73"/>
      <c r="K640" s="73"/>
      <c r="L640" s="183"/>
      <c r="M640" s="73"/>
      <c r="N640" s="73"/>
      <c r="O640" s="73"/>
      <c r="P640" s="73"/>
      <c r="Q640" s="73"/>
      <c r="R640" s="73"/>
    </row>
    <row r="641" spans="1:18" x14ac:dyDescent="0.25">
      <c r="A641" s="178" t="s">
        <v>893</v>
      </c>
      <c r="B641" s="809">
        <f>731/2</f>
        <v>365.5</v>
      </c>
      <c r="C641" s="810" t="s">
        <v>894</v>
      </c>
      <c r="D641" s="777">
        <f>'AcreageTracking-MAP'!G68</f>
        <v>101.90455669807506</v>
      </c>
      <c r="E641" s="777">
        <f>'AcreageTracking-MAP'!G69</f>
        <v>8.3718617370696489</v>
      </c>
      <c r="F641" s="777">
        <f>'AcreageTracking-MAP'!G67</f>
        <v>90.791350625113338</v>
      </c>
      <c r="G641" s="92">
        <f>SUM(D641:F641)+B639</f>
        <v>936.61793126027669</v>
      </c>
      <c r="H641" s="73"/>
      <c r="I641" s="73"/>
      <c r="J641" s="73"/>
      <c r="K641" s="73"/>
      <c r="L641" s="183"/>
      <c r="M641" s="73"/>
      <c r="N641" s="73"/>
      <c r="O641" s="73"/>
      <c r="P641" s="73"/>
      <c r="Q641" s="73"/>
      <c r="R641" s="73"/>
    </row>
    <row r="642" spans="1:18" x14ac:dyDescent="0.25">
      <c r="A642" s="178" t="s">
        <v>895</v>
      </c>
      <c r="B642" s="809">
        <f>B641</f>
        <v>365.5</v>
      </c>
      <c r="C642" s="812" t="s">
        <v>814</v>
      </c>
      <c r="D642" s="777"/>
      <c r="E642" s="777"/>
      <c r="F642" s="811">
        <f>H633</f>
        <v>5.9969928463933151</v>
      </c>
      <c r="G642" s="73"/>
      <c r="H642" s="73"/>
      <c r="I642" s="73"/>
      <c r="J642" s="73"/>
      <c r="K642" s="73"/>
      <c r="L642" s="183"/>
      <c r="M642" s="73"/>
      <c r="N642" s="73"/>
      <c r="O642" s="73"/>
      <c r="P642" s="73"/>
      <c r="Q642" s="73"/>
      <c r="R642" s="73"/>
    </row>
    <row r="643" spans="1:18" x14ac:dyDescent="0.25">
      <c r="A643" s="178" t="s">
        <v>844</v>
      </c>
      <c r="B643" s="190">
        <v>28</v>
      </c>
      <c r="C643" s="810"/>
      <c r="D643" s="777"/>
      <c r="E643" s="777"/>
      <c r="F643" s="811"/>
      <c r="G643" s="73"/>
      <c r="H643" s="73"/>
      <c r="I643" s="73"/>
      <c r="J643" s="73"/>
      <c r="K643" s="73"/>
      <c r="L643" s="183"/>
      <c r="M643" s="73"/>
      <c r="N643" s="73"/>
      <c r="O643" s="73"/>
      <c r="P643" s="73"/>
      <c r="Q643" s="73"/>
      <c r="R643" s="73"/>
    </row>
    <row r="644" spans="1:18" x14ac:dyDescent="0.25">
      <c r="A644" s="178" t="s">
        <v>844</v>
      </c>
      <c r="B644" s="813">
        <v>22</v>
      </c>
      <c r="C644" s="190"/>
      <c r="D644" s="331"/>
      <c r="E644" s="782"/>
      <c r="F644" s="782"/>
      <c r="G644" s="73"/>
      <c r="H644" s="73"/>
      <c r="I644" s="73"/>
      <c r="J644" s="73"/>
      <c r="K644" s="73"/>
      <c r="L644" s="183"/>
      <c r="M644" s="73"/>
      <c r="N644" s="73"/>
      <c r="O644" s="73"/>
      <c r="P644" s="73"/>
      <c r="Q644" s="73"/>
      <c r="R644" s="73"/>
    </row>
    <row r="645" spans="1:18" x14ac:dyDescent="0.25">
      <c r="A645" s="178" t="s">
        <v>1951</v>
      </c>
      <c r="B645" s="297">
        <f>((B640*43560*(B643/12))/27)+((B641*43560*(B644/12))/27)</f>
        <v>2474101.0550374035</v>
      </c>
      <c r="C645" s="332"/>
      <c r="D645" s="357">
        <f>D635</f>
        <v>319851.659084282</v>
      </c>
      <c r="E645" s="814">
        <f>G635</f>
        <v>28770.544951018808</v>
      </c>
      <c r="F645" s="357">
        <f>L635</f>
        <v>311758.77243283903</v>
      </c>
      <c r="G645" s="73"/>
      <c r="H645" s="73"/>
      <c r="I645" s="73"/>
      <c r="J645" s="73"/>
      <c r="K645" s="73"/>
      <c r="L645" s="183"/>
      <c r="M645" s="73"/>
      <c r="N645" s="73"/>
      <c r="O645" s="73"/>
      <c r="P645" s="73"/>
      <c r="Q645" s="73"/>
      <c r="R645" s="73"/>
    </row>
    <row r="646" spans="1:18" x14ac:dyDescent="0.25">
      <c r="A646" s="765" t="s">
        <v>1943</v>
      </c>
      <c r="B646" s="340">
        <f>B645</f>
        <v>2474101.0550374035</v>
      </c>
      <c r="C646" s="333"/>
      <c r="D646" s="340">
        <f>D645</f>
        <v>319851.659084282</v>
      </c>
      <c r="E646" s="340">
        <f>E645</f>
        <v>28770.544951018808</v>
      </c>
      <c r="F646" s="340">
        <f>F645</f>
        <v>311758.77243283903</v>
      </c>
      <c r="G646" s="530">
        <f>SUM(B646:F646)</f>
        <v>3134482.0315055433</v>
      </c>
      <c r="H646" s="73"/>
      <c r="I646" s="73"/>
      <c r="J646" s="73"/>
      <c r="K646" s="73"/>
      <c r="L646" s="183"/>
      <c r="M646" s="73"/>
      <c r="N646" s="73"/>
      <c r="O646" s="73"/>
      <c r="P646" s="73"/>
      <c r="Q646" s="73"/>
      <c r="R646" s="73"/>
    </row>
    <row r="647" spans="1:18" x14ac:dyDescent="0.25">
      <c r="A647" s="178" t="s">
        <v>846</v>
      </c>
      <c r="B647" s="333">
        <v>3300</v>
      </c>
      <c r="C647" s="333"/>
      <c r="D647" s="333">
        <v>3300</v>
      </c>
      <c r="E647" s="333">
        <v>3300</v>
      </c>
      <c r="F647" s="782">
        <v>3300</v>
      </c>
      <c r="G647" s="73"/>
      <c r="H647" s="73"/>
      <c r="I647" s="73"/>
      <c r="J647" s="73"/>
      <c r="K647" s="73"/>
      <c r="L647" s="183"/>
      <c r="M647" s="73"/>
      <c r="N647" s="73"/>
      <c r="O647" s="73"/>
      <c r="P647" s="73"/>
      <c r="Q647" s="73"/>
      <c r="R647" s="73"/>
    </row>
    <row r="648" spans="1:18" x14ac:dyDescent="0.25">
      <c r="A648" s="765" t="s">
        <v>847</v>
      </c>
      <c r="B648" s="340">
        <f>(B646*B647)/2000</f>
        <v>4082266.7408117158</v>
      </c>
      <c r="C648" s="333"/>
      <c r="D648" s="340">
        <f>(D646*D647)/2000</f>
        <v>527755.23748906527</v>
      </c>
      <c r="E648" s="340">
        <f>(E646*E647)/2000</f>
        <v>47471.399169181037</v>
      </c>
      <c r="F648" s="340">
        <f>(F646*F647)/2000</f>
        <v>514401.9745141844</v>
      </c>
      <c r="G648" s="530">
        <f>SUM(B648:F648)</f>
        <v>5171895.351984147</v>
      </c>
      <c r="H648" s="73"/>
      <c r="I648" s="73"/>
      <c r="J648" s="73"/>
      <c r="K648" s="73"/>
      <c r="L648" s="183"/>
      <c r="M648" s="73"/>
      <c r="N648" s="73"/>
      <c r="O648" s="73"/>
      <c r="P648" s="73"/>
      <c r="Q648" s="73"/>
      <c r="R648" s="73"/>
    </row>
    <row r="649" spans="1:18" x14ac:dyDescent="0.25">
      <c r="A649" s="765" t="s">
        <v>848</v>
      </c>
      <c r="B649" s="781">
        <v>17000</v>
      </c>
      <c r="C649" s="782"/>
      <c r="D649" s="781">
        <v>13200</v>
      </c>
      <c r="E649" s="781">
        <v>14250</v>
      </c>
      <c r="F649" s="781">
        <v>19535</v>
      </c>
      <c r="G649" s="73"/>
      <c r="H649" s="73"/>
      <c r="I649" s="73"/>
      <c r="J649" s="73"/>
      <c r="K649" s="73"/>
      <c r="L649" s="183"/>
      <c r="M649" s="73"/>
      <c r="N649" s="73"/>
      <c r="O649" s="73"/>
      <c r="P649" s="73"/>
      <c r="Q649" s="73"/>
      <c r="R649" s="73"/>
    </row>
    <row r="650" spans="1:18" x14ac:dyDescent="0.25">
      <c r="A650" s="765"/>
      <c r="B650" s="782"/>
      <c r="C650" s="782"/>
      <c r="D650" s="781"/>
      <c r="E650" s="781"/>
      <c r="F650" s="781"/>
      <c r="G650" s="73"/>
      <c r="H650" s="73"/>
      <c r="I650" s="73"/>
      <c r="J650" s="73"/>
      <c r="K650" s="73"/>
      <c r="L650" s="183"/>
      <c r="M650" s="73"/>
      <c r="N650" s="73"/>
      <c r="O650" s="73"/>
      <c r="P650" s="73"/>
      <c r="Q650" s="73"/>
      <c r="R650" s="73"/>
    </row>
    <row r="651" spans="1:18" x14ac:dyDescent="0.25">
      <c r="A651" s="178" t="s">
        <v>896</v>
      </c>
      <c r="B651" s="813">
        <v>6</v>
      </c>
      <c r="C651" s="813"/>
      <c r="D651" s="331"/>
      <c r="E651" s="782"/>
      <c r="F651" s="782">
        <v>6</v>
      </c>
      <c r="G651" s="73"/>
      <c r="H651" s="73"/>
      <c r="I651" s="73"/>
      <c r="J651" s="73"/>
      <c r="K651" s="73"/>
      <c r="L651" s="183"/>
      <c r="M651" s="73"/>
      <c r="N651" s="73"/>
      <c r="O651" s="73"/>
      <c r="P651" s="73"/>
      <c r="Q651" s="73"/>
      <c r="R651" s="73"/>
    </row>
    <row r="652" spans="1:18" x14ac:dyDescent="0.25">
      <c r="A652" s="765" t="s">
        <v>2079</v>
      </c>
      <c r="B652" s="815">
        <f>((B642*43560*(B651/12))/27)</f>
        <v>294836.66666666669</v>
      </c>
      <c r="C652" s="333"/>
      <c r="D652" s="331"/>
      <c r="E652" s="782"/>
      <c r="F652" s="816">
        <f>((F642*43560*(F651/12))/27)</f>
        <v>4837.5742294239408</v>
      </c>
      <c r="G652" s="73"/>
      <c r="H652" s="73"/>
      <c r="I652" s="73"/>
      <c r="J652" s="73"/>
      <c r="K652" s="73"/>
      <c r="L652" s="183"/>
      <c r="M652" s="73"/>
      <c r="N652" s="73"/>
      <c r="O652" s="73"/>
      <c r="P652" s="73"/>
      <c r="Q652" s="73"/>
      <c r="R652" s="73"/>
    </row>
    <row r="653" spans="1:18" x14ac:dyDescent="0.25">
      <c r="A653" s="178" t="s">
        <v>897</v>
      </c>
      <c r="B653" s="333">
        <v>2800</v>
      </c>
      <c r="C653" s="333"/>
      <c r="D653" s="782"/>
      <c r="E653" s="782"/>
      <c r="F653" s="782">
        <v>2800</v>
      </c>
      <c r="G653" s="73"/>
      <c r="H653" s="73"/>
      <c r="I653" s="73"/>
      <c r="J653" s="73"/>
      <c r="K653" s="73"/>
      <c r="L653" s="183"/>
      <c r="M653" s="73"/>
      <c r="N653" s="73"/>
      <c r="O653" s="73"/>
      <c r="P653" s="73"/>
      <c r="Q653" s="73"/>
      <c r="R653" s="73"/>
    </row>
    <row r="654" spans="1:18" x14ac:dyDescent="0.25">
      <c r="A654" s="765" t="s">
        <v>898</v>
      </c>
      <c r="B654" s="768">
        <f>(B652*B653)/2000</f>
        <v>412771.33333333337</v>
      </c>
      <c r="C654" s="333"/>
      <c r="D654" s="782"/>
      <c r="E654" s="782"/>
      <c r="F654" s="768">
        <f>(F652*F653)/2000</f>
        <v>6772.6039211935167</v>
      </c>
      <c r="G654" s="73"/>
      <c r="H654" s="73"/>
      <c r="I654" s="73"/>
      <c r="J654" s="73"/>
      <c r="K654" s="73"/>
      <c r="L654" s="183"/>
      <c r="M654" s="73"/>
      <c r="N654" s="73"/>
      <c r="O654" s="73"/>
      <c r="P654" s="73"/>
      <c r="Q654" s="73"/>
      <c r="R654" s="73"/>
    </row>
    <row r="655" spans="1:18" x14ac:dyDescent="0.25">
      <c r="A655" s="765" t="s">
        <v>899</v>
      </c>
      <c r="B655" s="191">
        <v>8500</v>
      </c>
      <c r="C655" s="190"/>
      <c r="D655" s="189"/>
      <c r="E655" s="190"/>
      <c r="F655" s="816">
        <f>1.5*5280</f>
        <v>7920</v>
      </c>
      <c r="G655" s="73"/>
      <c r="H655" s="73"/>
      <c r="I655" s="73"/>
      <c r="J655" s="73"/>
      <c r="K655" s="73"/>
      <c r="L655" s="183"/>
      <c r="M655" s="73"/>
      <c r="N655" s="73"/>
      <c r="O655" s="73"/>
      <c r="P655" s="73"/>
      <c r="Q655" s="73"/>
      <c r="R655" s="73"/>
    </row>
    <row r="656" spans="1:18" ht="15.75" thickBot="1" x14ac:dyDescent="0.3">
      <c r="A656" s="176"/>
      <c r="B656" s="175" t="s">
        <v>900</v>
      </c>
      <c r="C656" s="175"/>
      <c r="D656" s="384"/>
      <c r="E656" s="175"/>
      <c r="F656" s="175" t="s">
        <v>901</v>
      </c>
      <c r="G656" s="175"/>
      <c r="H656" s="175"/>
      <c r="I656" s="175"/>
      <c r="J656" s="175"/>
      <c r="K656" s="175"/>
      <c r="L656" s="770"/>
      <c r="M656" s="73"/>
      <c r="N656" s="73"/>
      <c r="O656" s="73"/>
      <c r="P656" s="73"/>
      <c r="Q656" s="73"/>
      <c r="R656" s="73"/>
    </row>
    <row r="657" spans="1:18" x14ac:dyDescent="0.25">
      <c r="A657" s="73"/>
      <c r="B657" s="73"/>
      <c r="C657" s="73"/>
      <c r="D657" s="198"/>
      <c r="E657" s="73"/>
      <c r="F657" s="73"/>
      <c r="G657" s="73"/>
      <c r="H657" s="73"/>
      <c r="I657" s="73"/>
      <c r="J657" s="73"/>
      <c r="K657" s="73"/>
      <c r="L657" s="73"/>
      <c r="M657" s="73"/>
      <c r="N657" s="73"/>
      <c r="O657" s="73"/>
      <c r="P657" s="73"/>
      <c r="Q657" s="73"/>
      <c r="R657" s="73"/>
    </row>
    <row r="658" spans="1:18" x14ac:dyDescent="0.25">
      <c r="A658" s="771" t="s">
        <v>849</v>
      </c>
      <c r="B658" s="391">
        <f>731+486</f>
        <v>1217</v>
      </c>
      <c r="C658" s="391">
        <v>398</v>
      </c>
      <c r="D658" s="749"/>
      <c r="E658" s="749"/>
      <c r="F658" s="749"/>
      <c r="G658" s="391">
        <f>73+9+136+24+263</f>
        <v>505</v>
      </c>
      <c r="H658" s="382"/>
      <c r="I658" s="382" t="s">
        <v>871</v>
      </c>
      <c r="J658" s="382"/>
      <c r="K658" s="73"/>
      <c r="L658" s="73"/>
      <c r="M658" s="73"/>
      <c r="N658" s="73"/>
      <c r="O658" s="73"/>
      <c r="P658" s="73"/>
      <c r="Q658" s="73"/>
      <c r="R658" s="73"/>
    </row>
    <row r="659" spans="1:18" x14ac:dyDescent="0.25">
      <c r="A659" s="771" t="s">
        <v>852</v>
      </c>
      <c r="B659" s="335">
        <f>2162136+1829520</f>
        <v>3991656</v>
      </c>
      <c r="C659" s="391">
        <v>1070178</v>
      </c>
      <c r="D659" s="335"/>
      <c r="E659" s="335"/>
      <c r="F659" s="335"/>
      <c r="G659" s="335">
        <f>195751+23232+365393+44308+99049</f>
        <v>727733</v>
      </c>
      <c r="H659" s="382"/>
      <c r="I659" s="382" t="s">
        <v>871</v>
      </c>
      <c r="J659" s="382"/>
      <c r="K659" s="73"/>
      <c r="L659" s="73"/>
      <c r="M659" s="73"/>
      <c r="N659" s="73"/>
      <c r="O659" s="73"/>
      <c r="P659" s="73"/>
      <c r="Q659" s="73"/>
      <c r="R659" s="73"/>
    </row>
    <row r="660" spans="1:18" x14ac:dyDescent="0.25">
      <c r="A660" s="342" t="s">
        <v>902</v>
      </c>
      <c r="B660" s="50">
        <v>608662</v>
      </c>
      <c r="C660" s="49"/>
      <c r="D660" s="48"/>
      <c r="E660" s="48"/>
      <c r="F660" s="48"/>
      <c r="G660" s="50" t="s">
        <v>903</v>
      </c>
      <c r="H660" s="49"/>
      <c r="I660" s="49"/>
      <c r="J660" s="49"/>
    </row>
    <row r="662" spans="1:18" x14ac:dyDescent="0.25">
      <c r="B662" s="2" t="s">
        <v>904</v>
      </c>
      <c r="C662" t="s">
        <v>394</v>
      </c>
      <c r="D662"/>
      <c r="E662"/>
    </row>
    <row r="663" spans="1:18" x14ac:dyDescent="0.25">
      <c r="A663" s="3" t="s">
        <v>905</v>
      </c>
      <c r="B663" s="663">
        <f>G646+R618+G604+C707</f>
        <v>6250166.7229195386</v>
      </c>
      <c r="C663" s="344">
        <v>10883030</v>
      </c>
      <c r="D663" s="49" t="s">
        <v>906</v>
      </c>
      <c r="E663" s="467"/>
      <c r="F663" s="343"/>
      <c r="G663" s="5"/>
    </row>
    <row r="664" spans="1:18" x14ac:dyDescent="0.25">
      <c r="A664" s="3" t="s">
        <v>907</v>
      </c>
      <c r="B664" s="663">
        <f>F652+B652</f>
        <v>299674.24089609063</v>
      </c>
      <c r="C664" s="345">
        <v>608662</v>
      </c>
      <c r="D664" s="49" t="s">
        <v>906</v>
      </c>
      <c r="E664" s="467"/>
    </row>
    <row r="665" spans="1:18" x14ac:dyDescent="0.25">
      <c r="A665" s="3" t="s">
        <v>908</v>
      </c>
      <c r="B665" s="664">
        <f>G641+R614+G600+B691</f>
        <v>1870.6550707272183</v>
      </c>
      <c r="C665" s="345">
        <f>B658+C658+G658+R622+C608+D608</f>
        <v>3511</v>
      </c>
      <c r="D665" s="49" t="s">
        <v>906</v>
      </c>
      <c r="E665" s="467"/>
    </row>
    <row r="666" spans="1:18" x14ac:dyDescent="0.25">
      <c r="C666" s="201"/>
      <c r="D666" s="3"/>
      <c r="E666"/>
    </row>
    <row r="667" spans="1:18" x14ac:dyDescent="0.25">
      <c r="C667"/>
      <c r="D667"/>
      <c r="E667" s="93"/>
    </row>
    <row r="668" spans="1:18" x14ac:dyDescent="0.25">
      <c r="A668" s="314" t="s">
        <v>909</v>
      </c>
      <c r="B668" s="30"/>
      <c r="C668" s="30"/>
      <c r="D668" s="30"/>
      <c r="E668" s="425"/>
      <c r="F668" s="90"/>
    </row>
    <row r="669" spans="1:18" x14ac:dyDescent="0.25">
      <c r="D669" s="122"/>
      <c r="E669" s="76"/>
    </row>
    <row r="670" spans="1:18" x14ac:dyDescent="0.25">
      <c r="A670" s="73"/>
      <c r="C670"/>
      <c r="D670"/>
      <c r="E670"/>
    </row>
    <row r="671" spans="1:18" x14ac:dyDescent="0.25">
      <c r="C671"/>
      <c r="D671"/>
      <c r="E671"/>
    </row>
    <row r="672" spans="1:18" x14ac:dyDescent="0.25">
      <c r="C672"/>
      <c r="D672"/>
      <c r="E672"/>
    </row>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spans="1:7" x14ac:dyDescent="0.25">
      <c r="A689" s="188" t="s">
        <v>910</v>
      </c>
      <c r="B689" s="188"/>
      <c r="C689" s="188" t="s">
        <v>1901</v>
      </c>
      <c r="D689" s="73"/>
      <c r="E689" s="73"/>
      <c r="F689" s="73" t="s">
        <v>1902</v>
      </c>
    </row>
    <row r="690" spans="1:7" x14ac:dyDescent="0.25">
      <c r="A690" s="73" t="s">
        <v>911</v>
      </c>
      <c r="B690" s="92">
        <f>'AcreageTracking-MAP'!$G$87</f>
        <v>50.792273968468322</v>
      </c>
      <c r="C690" s="73" t="s">
        <v>912</v>
      </c>
      <c r="D690" s="77"/>
      <c r="E690" s="73"/>
      <c r="F690" s="231">
        <f>B690/28</f>
        <v>1.8140097845881544</v>
      </c>
      <c r="G690" t="s">
        <v>366</v>
      </c>
    </row>
    <row r="691" spans="1:7" x14ac:dyDescent="0.25">
      <c r="A691" s="73" t="s">
        <v>913</v>
      </c>
      <c r="B691" s="92">
        <f>'AcreageTracking-MAP'!$G$86</f>
        <v>251.61256680042791</v>
      </c>
      <c r="C691" s="73" t="s">
        <v>1862</v>
      </c>
      <c r="D691" s="77"/>
      <c r="E691" s="73"/>
      <c r="F691" s="231">
        <f>B691/28</f>
        <v>8.9861631000152826</v>
      </c>
      <c r="G691" t="s">
        <v>366</v>
      </c>
    </row>
    <row r="692" spans="1:7" x14ac:dyDescent="0.25">
      <c r="A692" s="188"/>
      <c r="B692" s="188"/>
      <c r="C692" s="92"/>
      <c r="D692" s="73"/>
      <c r="E692" s="73"/>
      <c r="F692" s="73"/>
    </row>
    <row r="693" spans="1:7" ht="43.9" customHeight="1" x14ac:dyDescent="0.25">
      <c r="A693" s="359" t="s">
        <v>915</v>
      </c>
      <c r="B693" s="884" t="s">
        <v>1912</v>
      </c>
      <c r="C693" s="885" t="s">
        <v>916</v>
      </c>
      <c r="D693" s="885" t="s">
        <v>917</v>
      </c>
      <c r="E693" s="885" t="s">
        <v>918</v>
      </c>
      <c r="F693" s="73"/>
    </row>
    <row r="694" spans="1:7" x14ac:dyDescent="0.25">
      <c r="A694" s="225" t="s">
        <v>919</v>
      </c>
      <c r="B694" s="507" t="s">
        <v>1909</v>
      </c>
      <c r="C694" s="530">
        <f>'AcreageTracking-MAP'!G82</f>
        <v>735.55016220001869</v>
      </c>
      <c r="D694" s="73">
        <v>0</v>
      </c>
      <c r="E694" s="73">
        <v>0</v>
      </c>
      <c r="F694" s="73"/>
    </row>
    <row r="695" spans="1:7" x14ac:dyDescent="0.25">
      <c r="A695" s="225"/>
      <c r="B695" s="886" t="s">
        <v>1910</v>
      </c>
      <c r="C695" s="85">
        <f>C694+D695</f>
        <v>780.48097770009508</v>
      </c>
      <c r="D695" s="92">
        <f>$F$691*5</f>
        <v>44.930815500076413</v>
      </c>
      <c r="E695" s="92">
        <f>$F$690*5</f>
        <v>9.0700489229407726</v>
      </c>
      <c r="F695" s="73"/>
    </row>
    <row r="696" spans="1:7" x14ac:dyDescent="0.25">
      <c r="A696" s="225"/>
      <c r="B696" s="887" t="s">
        <v>1911</v>
      </c>
      <c r="C696" s="85">
        <f t="shared" ref="C696:C700" si="197">C695+D696</f>
        <v>825.41179320017147</v>
      </c>
      <c r="D696" s="92">
        <f>$F$691*5</f>
        <v>44.930815500076413</v>
      </c>
      <c r="E696" s="92">
        <f>$F$690*5</f>
        <v>9.0700489229407726</v>
      </c>
      <c r="F696" s="73"/>
    </row>
    <row r="697" spans="1:7" x14ac:dyDescent="0.25">
      <c r="A697" s="225"/>
      <c r="B697" s="887" t="s">
        <v>1913</v>
      </c>
      <c r="C697" s="85">
        <f t="shared" si="197"/>
        <v>870.34260870024787</v>
      </c>
      <c r="D697" s="92">
        <f>$F$691*5</f>
        <v>44.930815500076413</v>
      </c>
      <c r="E697" s="92">
        <f>$F$690*5</f>
        <v>9.0700489229407726</v>
      </c>
      <c r="F697" s="73"/>
    </row>
    <row r="698" spans="1:7" x14ac:dyDescent="0.25">
      <c r="A698" s="225"/>
      <c r="B698" s="887" t="s">
        <v>1914</v>
      </c>
      <c r="C698" s="85">
        <f t="shared" si="197"/>
        <v>915.27342420032426</v>
      </c>
      <c r="D698" s="92">
        <f>$F$691*5</f>
        <v>44.930815500076413</v>
      </c>
      <c r="E698" s="92">
        <f>$F$690*5</f>
        <v>9.0700489229407726</v>
      </c>
      <c r="F698" s="73"/>
    </row>
    <row r="699" spans="1:7" x14ac:dyDescent="0.25">
      <c r="A699" s="225"/>
      <c r="B699" s="887" t="s">
        <v>1915</v>
      </c>
      <c r="C699" s="85">
        <f t="shared" si="197"/>
        <v>960.20423970040065</v>
      </c>
      <c r="D699" s="92">
        <f>$F$691*5</f>
        <v>44.930815500076413</v>
      </c>
      <c r="E699" s="92">
        <f>$F$690*5</f>
        <v>9.0700489229407726</v>
      </c>
      <c r="F699" s="73"/>
    </row>
    <row r="700" spans="1:7" x14ac:dyDescent="0.25">
      <c r="A700" s="225" t="s">
        <v>920</v>
      </c>
      <c r="B700" s="888" t="s">
        <v>1916</v>
      </c>
      <c r="C700" s="889">
        <f t="shared" si="197"/>
        <v>987.16272900044646</v>
      </c>
      <c r="D700" s="890">
        <f>$F$691*3</f>
        <v>26.958489300045848</v>
      </c>
      <c r="E700" s="890">
        <f>$F$690*3</f>
        <v>5.4420293537644628</v>
      </c>
      <c r="F700" s="73"/>
    </row>
    <row r="701" spans="1:7" x14ac:dyDescent="0.25">
      <c r="B701" s="73"/>
      <c r="C701" s="77" t="s">
        <v>809</v>
      </c>
      <c r="D701" s="92">
        <f>SUM(D694:D700)</f>
        <v>251.61256680042791</v>
      </c>
      <c r="E701" s="92">
        <f>SUM(E694:E700)</f>
        <v>50.792273968468322</v>
      </c>
      <c r="F701" s="73"/>
    </row>
    <row r="702" spans="1:7" x14ac:dyDescent="0.25">
      <c r="B702" s="73"/>
      <c r="C702" s="73"/>
      <c r="D702" s="73"/>
      <c r="E702" s="73"/>
      <c r="F702" s="73"/>
    </row>
    <row r="703" spans="1:7" x14ac:dyDescent="0.25">
      <c r="B703" s="73"/>
      <c r="C703" s="891" t="s">
        <v>921</v>
      </c>
      <c r="D703" s="593"/>
      <c r="E703" s="73"/>
      <c r="F703" s="788"/>
      <c r="G703" s="187"/>
    </row>
    <row r="704" spans="1:7" x14ac:dyDescent="0.25">
      <c r="A704" t="s">
        <v>922</v>
      </c>
      <c r="B704" s="73"/>
      <c r="C704" s="748">
        <f>B691</f>
        <v>251.61256680042791</v>
      </c>
      <c r="D704" s="73" t="s">
        <v>1903</v>
      </c>
      <c r="E704" s="73"/>
      <c r="F704" s="85"/>
    </row>
    <row r="705" spans="1:7" x14ac:dyDescent="0.25">
      <c r="A705" t="s">
        <v>844</v>
      </c>
      <c r="B705" s="73"/>
      <c r="C705" s="507">
        <v>20</v>
      </c>
      <c r="D705" s="77"/>
      <c r="E705" s="73"/>
      <c r="F705" s="85"/>
      <c r="G705" s="361"/>
    </row>
    <row r="706" spans="1:7" x14ac:dyDescent="0.25">
      <c r="A706" t="s">
        <v>845</v>
      </c>
      <c r="B706" s="73"/>
      <c r="C706" s="817">
        <f>(C704*43560*(C705/12))/27</f>
        <v>676558.23517448397</v>
      </c>
      <c r="D706" s="73"/>
      <c r="E706" s="73"/>
      <c r="F706" s="85"/>
    </row>
    <row r="707" spans="1:7" x14ac:dyDescent="0.25">
      <c r="A707" s="120" t="s">
        <v>1943</v>
      </c>
      <c r="B707" s="77"/>
      <c r="C707" s="818">
        <f>C706</f>
        <v>676558.23517448397</v>
      </c>
      <c r="D707" s="73"/>
      <c r="E707" s="73"/>
      <c r="F707" s="818"/>
    </row>
    <row r="708" spans="1:7" x14ac:dyDescent="0.25">
      <c r="A708" t="s">
        <v>846</v>
      </c>
      <c r="B708" s="73"/>
      <c r="C708" s="362">
        <v>3300</v>
      </c>
      <c r="D708" s="73"/>
      <c r="E708" s="73"/>
      <c r="F708" s="362"/>
    </row>
    <row r="709" spans="1:7" x14ac:dyDescent="0.25">
      <c r="A709" t="s">
        <v>847</v>
      </c>
      <c r="B709" s="73"/>
      <c r="C709" s="819">
        <f>(C707*C708)/2000</f>
        <v>1116321.0880378985</v>
      </c>
      <c r="D709" s="73"/>
      <c r="E709" s="73"/>
      <c r="F709" s="819"/>
    </row>
    <row r="710" spans="1:7" x14ac:dyDescent="0.25">
      <c r="A710" t="s">
        <v>848</v>
      </c>
      <c r="B710" s="73"/>
      <c r="C710" s="362">
        <v>17400</v>
      </c>
      <c r="D710" s="756" t="s">
        <v>923</v>
      </c>
      <c r="E710" s="73"/>
      <c r="F710" s="362"/>
    </row>
    <row r="711" spans="1:7" x14ac:dyDescent="0.25">
      <c r="B711" s="73"/>
      <c r="C711" s="77"/>
      <c r="D711" s="73"/>
      <c r="E711" s="73"/>
      <c r="F711" s="73"/>
    </row>
    <row r="712" spans="1:7" x14ac:dyDescent="0.25">
      <c r="A712" s="188" t="s">
        <v>924</v>
      </c>
    </row>
    <row r="714" spans="1:7" x14ac:dyDescent="0.25">
      <c r="A714" s="38"/>
      <c r="B714" s="38"/>
      <c r="C714" s="38"/>
    </row>
    <row r="716" spans="1:7" x14ac:dyDescent="0.25">
      <c r="A716" s="314" t="s">
        <v>642</v>
      </c>
      <c r="B716" s="30"/>
      <c r="C716" s="30"/>
      <c r="D716" s="30"/>
      <c r="E716" s="30"/>
    </row>
    <row r="738" spans="1:7" x14ac:dyDescent="0.25">
      <c r="D738" s="73"/>
      <c r="E738"/>
    </row>
    <row r="743" spans="1:7" x14ac:dyDescent="0.25">
      <c r="A743" s="3" t="s">
        <v>925</v>
      </c>
      <c r="B743" s="663">
        <f>B663</f>
        <v>6250166.7229195386</v>
      </c>
    </row>
    <row r="744" spans="1:7" x14ac:dyDescent="0.25">
      <c r="A744" s="3" t="s">
        <v>926</v>
      </c>
      <c r="B744" s="258">
        <v>23053000</v>
      </c>
    </row>
    <row r="746" spans="1:7" x14ac:dyDescent="0.25">
      <c r="A746" s="167" t="s">
        <v>927</v>
      </c>
    </row>
    <row r="747" spans="1:7" x14ac:dyDescent="0.25">
      <c r="A747" s="3" t="s">
        <v>928</v>
      </c>
      <c r="B747" s="343">
        <f>B743*1.25</f>
        <v>7812708.4036494233</v>
      </c>
    </row>
    <row r="748" spans="1:7" x14ac:dyDescent="0.25">
      <c r="A748" s="3" t="s">
        <v>929</v>
      </c>
      <c r="B748" s="343">
        <f>B747-B743</f>
        <v>1562541.6807298847</v>
      </c>
    </row>
    <row r="749" spans="1:7" x14ac:dyDescent="0.25">
      <c r="B749" s="249"/>
    </row>
    <row r="751" spans="1:7" x14ac:dyDescent="0.25">
      <c r="E751" s="167" t="s">
        <v>930</v>
      </c>
      <c r="F751" s="1"/>
    </row>
    <row r="752" spans="1:7" ht="30" x14ac:dyDescent="0.25">
      <c r="A752" s="369" t="s">
        <v>931</v>
      </c>
      <c r="B752" s="370"/>
      <c r="C752" s="371" t="s">
        <v>932</v>
      </c>
      <c r="D752" s="363" t="s">
        <v>933</v>
      </c>
      <c r="E752" s="363" t="s">
        <v>934</v>
      </c>
      <c r="F752" s="363" t="s">
        <v>935</v>
      </c>
      <c r="G752" s="240"/>
    </row>
    <row r="753" spans="1:6" x14ac:dyDescent="0.25">
      <c r="A753" s="241" t="s">
        <v>936</v>
      </c>
      <c r="B753" s="361"/>
      <c r="C753" s="336">
        <v>2500</v>
      </c>
      <c r="D753" s="284">
        <f>$B$747/C753</f>
        <v>3125.0833614597691</v>
      </c>
      <c r="E753" s="386">
        <v>22</v>
      </c>
      <c r="F753" s="364">
        <f>D753*E753</f>
        <v>68751.833952114917</v>
      </c>
    </row>
    <row r="754" spans="1:6" x14ac:dyDescent="0.25">
      <c r="A754" s="241" t="s">
        <v>937</v>
      </c>
      <c r="B754" s="361"/>
      <c r="C754" s="336">
        <v>10000</v>
      </c>
      <c r="D754" s="284">
        <f>$B$747/C754</f>
        <v>781.27084036494227</v>
      </c>
      <c r="E754" s="386">
        <v>36</v>
      </c>
      <c r="F754" s="364">
        <f>D754*E754</f>
        <v>28125.750253137921</v>
      </c>
    </row>
    <row r="755" spans="1:6" x14ac:dyDescent="0.25">
      <c r="A755" s="241" t="s">
        <v>938</v>
      </c>
      <c r="B755" s="361"/>
      <c r="C755" s="336">
        <v>10000</v>
      </c>
      <c r="D755" s="284">
        <f>$B$747/C755</f>
        <v>781.27084036494227</v>
      </c>
      <c r="E755" s="386">
        <v>180</v>
      </c>
      <c r="F755" s="364">
        <f>D755*E755</f>
        <v>140628.75126568961</v>
      </c>
    </row>
    <row r="756" spans="1:6" x14ac:dyDescent="0.25">
      <c r="A756" s="241" t="s">
        <v>939</v>
      </c>
      <c r="B756" s="361"/>
      <c r="C756" s="336">
        <v>30000</v>
      </c>
      <c r="D756" s="284">
        <f>$B$747/C756</f>
        <v>260.4236134549808</v>
      </c>
      <c r="E756" s="386">
        <v>180</v>
      </c>
      <c r="F756" s="364">
        <f>D756*E756</f>
        <v>46876.250421896541</v>
      </c>
    </row>
    <row r="757" spans="1:6" x14ac:dyDescent="0.25">
      <c r="A757" s="242" t="s">
        <v>940</v>
      </c>
      <c r="B757" s="367"/>
      <c r="C757" s="336">
        <v>2500</v>
      </c>
      <c r="D757" s="284">
        <f>$B$747/C757</f>
        <v>3125.0833614597691</v>
      </c>
      <c r="E757" s="386">
        <v>38</v>
      </c>
      <c r="F757" s="364">
        <f>D757*E757</f>
        <v>118753.16773547123</v>
      </c>
    </row>
    <row r="758" spans="1:6" x14ac:dyDescent="0.25">
      <c r="A758" s="241" t="s">
        <v>941</v>
      </c>
      <c r="B758" s="361"/>
      <c r="C758" s="387"/>
      <c r="D758" s="93"/>
      <c r="E758" s="239"/>
      <c r="F758" s="392">
        <f>D760*10</f>
        <v>80731.320171044048</v>
      </c>
    </row>
    <row r="759" spans="1:6" x14ac:dyDescent="0.25">
      <c r="A759" s="241" t="s">
        <v>942</v>
      </c>
      <c r="B759" s="361"/>
      <c r="C759" s="395"/>
      <c r="D759" s="186"/>
      <c r="E759" s="396"/>
      <c r="F759" s="397">
        <f>D760*3</f>
        <v>24219.396051313212</v>
      </c>
    </row>
    <row r="760" spans="1:6" x14ac:dyDescent="0.25">
      <c r="A760" s="220" t="s">
        <v>943</v>
      </c>
      <c r="B760" s="368"/>
      <c r="C760" s="368"/>
      <c r="D760" s="94">
        <f>SUM(D753:D757)</f>
        <v>8073.1320171044044</v>
      </c>
      <c r="E760"/>
      <c r="F760" s="358">
        <f>SUM(F753:F759)</f>
        <v>508086.46985066746</v>
      </c>
    </row>
    <row r="761" spans="1:6" x14ac:dyDescent="0.25">
      <c r="C761"/>
      <c r="D761"/>
      <c r="E761"/>
    </row>
    <row r="762" spans="1:6" x14ac:dyDescent="0.25">
      <c r="A762" s="222" t="s">
        <v>944</v>
      </c>
      <c r="C762"/>
      <c r="D762"/>
      <c r="E762" s="372"/>
    </row>
    <row r="763" spans="1:6" x14ac:dyDescent="0.25">
      <c r="A763" t="s">
        <v>945</v>
      </c>
      <c r="C763" s="531">
        <f>'Labor Rates 2025'!$D$62+'Equipment Rates 2025'!E73</f>
        <v>121.45</v>
      </c>
      <c r="D763"/>
      <c r="E763" s="164"/>
    </row>
    <row r="764" spans="1:6" x14ac:dyDescent="0.25">
      <c r="A764" t="s">
        <v>946</v>
      </c>
      <c r="C764" s="297">
        <f>M110*0.25</f>
        <v>248.05395093578497</v>
      </c>
      <c r="D764" s="73" t="s">
        <v>947</v>
      </c>
      <c r="E764" s="5"/>
    </row>
    <row r="765" spans="1:6" x14ac:dyDescent="0.25">
      <c r="A765" t="s">
        <v>948</v>
      </c>
      <c r="C765" s="532">
        <f>C763*C764</f>
        <v>30126.152341151086</v>
      </c>
      <c r="D765"/>
      <c r="E765"/>
    </row>
    <row r="766" spans="1:6" x14ac:dyDescent="0.25">
      <c r="C766" s="38"/>
      <c r="D766" s="217"/>
      <c r="E766"/>
    </row>
    <row r="767" spans="1:6" x14ac:dyDescent="0.25">
      <c r="A767" s="314" t="s">
        <v>1891</v>
      </c>
      <c r="B767" s="30"/>
      <c r="C767" s="30"/>
      <c r="D767" s="30"/>
      <c r="E767" s="424">
        <f>F760+C765</f>
        <v>538212.62219181855</v>
      </c>
    </row>
    <row r="768" spans="1:6" x14ac:dyDescent="0.25">
      <c r="C768"/>
      <c r="D768"/>
      <c r="E768"/>
    </row>
    <row r="769" spans="1:5" x14ac:dyDescent="0.25">
      <c r="C769"/>
      <c r="D769"/>
      <c r="E769"/>
    </row>
    <row r="770" spans="1:5" x14ac:dyDescent="0.25">
      <c r="C770"/>
      <c r="D770"/>
      <c r="E770"/>
    </row>
    <row r="771" spans="1:5" x14ac:dyDescent="0.25">
      <c r="C771"/>
      <c r="D771"/>
      <c r="E771"/>
    </row>
    <row r="772" spans="1:5" x14ac:dyDescent="0.25">
      <c r="C772"/>
    </row>
    <row r="773" spans="1:5" x14ac:dyDescent="0.25">
      <c r="A773" s="73"/>
      <c r="B773" s="73"/>
      <c r="C773" s="373"/>
      <c r="D773" s="373"/>
      <c r="E773" s="373"/>
    </row>
    <row r="775" spans="1:5" x14ac:dyDescent="0.25">
      <c r="A775" s="314" t="s">
        <v>647</v>
      </c>
      <c r="B775" s="30"/>
      <c r="C775" s="30"/>
      <c r="D775" s="30"/>
      <c r="E775" s="420"/>
    </row>
    <row r="784" spans="1:5" x14ac:dyDescent="0.25">
      <c r="A784" s="24" t="s">
        <v>949</v>
      </c>
      <c r="B784" s="1" t="s">
        <v>950</v>
      </c>
      <c r="C784" s="1" t="s">
        <v>598</v>
      </c>
      <c r="D784" s="225" t="s">
        <v>951</v>
      </c>
      <c r="E784" s="180"/>
    </row>
    <row r="785" spans="1:6" x14ac:dyDescent="0.25">
      <c r="A785" s="250" t="s">
        <v>952</v>
      </c>
      <c r="B785" s="182">
        <f>'Labor Rates 2025'!$D$59</f>
        <v>230.55</v>
      </c>
      <c r="C785" s="77">
        <v>40</v>
      </c>
      <c r="D785" s="376">
        <f>B785*C785</f>
        <v>9222</v>
      </c>
      <c r="E785" s="180"/>
      <c r="F785" s="251"/>
    </row>
    <row r="786" spans="1:6" x14ac:dyDescent="0.25">
      <c r="A786" s="250" t="s">
        <v>953</v>
      </c>
      <c r="B786" s="182">
        <f>'Labor Rates 2025'!$D$60</f>
        <v>186.79</v>
      </c>
      <c r="C786" s="77">
        <v>40</v>
      </c>
      <c r="D786" s="376">
        <f>B786*C786</f>
        <v>7471.5999999999995</v>
      </c>
      <c r="E786" s="180"/>
      <c r="F786" s="251"/>
    </row>
    <row r="787" spans="1:6" x14ac:dyDescent="0.25">
      <c r="A787" s="250" t="s">
        <v>954</v>
      </c>
      <c r="B787" s="182">
        <f>'Labor Rates 2025'!$D$62</f>
        <v>95.79</v>
      </c>
      <c r="C787" s="77">
        <f>40*12</f>
        <v>480</v>
      </c>
      <c r="D787" s="376">
        <f>B787*C787</f>
        <v>45979.200000000004</v>
      </c>
      <c r="E787" s="251" t="s">
        <v>955</v>
      </c>
      <c r="F787" s="251"/>
    </row>
    <row r="788" spans="1:6" x14ac:dyDescent="0.25">
      <c r="A788" s="250" t="s">
        <v>956</v>
      </c>
      <c r="B788" s="182">
        <f>'Labor Rates 2025'!$D$61</f>
        <v>82.66</v>
      </c>
      <c r="C788" s="77">
        <v>40</v>
      </c>
      <c r="D788" s="376">
        <f>B788*C788</f>
        <v>3306.3999999999996</v>
      </c>
      <c r="E788" s="180"/>
      <c r="F788" s="251"/>
    </row>
    <row r="789" spans="1:6" x14ac:dyDescent="0.25">
      <c r="A789" s="250" t="s">
        <v>957</v>
      </c>
      <c r="B789" s="517">
        <v>1000</v>
      </c>
      <c r="C789" s="296">
        <v>1</v>
      </c>
      <c r="D789" s="377">
        <f>B789*C789</f>
        <v>1000</v>
      </c>
      <c r="E789"/>
      <c r="F789" s="251"/>
    </row>
    <row r="790" spans="1:6" x14ac:dyDescent="0.25">
      <c r="A790" s="250" t="s">
        <v>958</v>
      </c>
      <c r="B790" s="182"/>
      <c r="C790" s="77"/>
      <c r="D790" s="376">
        <f>SUM(D785:D789)</f>
        <v>66979.199999999997</v>
      </c>
      <c r="E790"/>
      <c r="F790" s="251"/>
    </row>
    <row r="791" spans="1:6" x14ac:dyDescent="0.25">
      <c r="A791" s="419" t="s">
        <v>959</v>
      </c>
      <c r="B791" s="188"/>
      <c r="C791" s="3"/>
      <c r="D791" s="378">
        <f>D790</f>
        <v>66979.199999999997</v>
      </c>
      <c r="E791"/>
    </row>
    <row r="792" spans="1:6" x14ac:dyDescent="0.25">
      <c r="B792" s="73"/>
      <c r="C792"/>
      <c r="D792"/>
      <c r="E792"/>
    </row>
    <row r="793" spans="1:6" x14ac:dyDescent="0.25">
      <c r="B793" s="73"/>
      <c r="C793"/>
      <c r="D793"/>
      <c r="E793"/>
    </row>
    <row r="794" spans="1:6" x14ac:dyDescent="0.25">
      <c r="B794" s="73"/>
      <c r="C794"/>
      <c r="D794"/>
      <c r="E794"/>
    </row>
    <row r="795" spans="1:6" x14ac:dyDescent="0.25">
      <c r="A795" s="24" t="s">
        <v>960</v>
      </c>
      <c r="B795" s="77" t="s">
        <v>950</v>
      </c>
      <c r="C795" s="1" t="s">
        <v>598</v>
      </c>
      <c r="D795" s="225" t="s">
        <v>951</v>
      </c>
      <c r="E795"/>
    </row>
    <row r="796" spans="1:6" x14ac:dyDescent="0.25">
      <c r="A796" s="254" t="s">
        <v>952</v>
      </c>
      <c r="B796" s="182">
        <f>'Labor Rates 2025'!$D$59</f>
        <v>230.55</v>
      </c>
      <c r="C796" s="77">
        <v>8</v>
      </c>
      <c r="D796" s="376">
        <f>B796*C796</f>
        <v>1844.4</v>
      </c>
      <c r="E796"/>
      <c r="F796" s="251"/>
    </row>
    <row r="797" spans="1:6" x14ac:dyDescent="0.25">
      <c r="A797" s="254" t="s">
        <v>953</v>
      </c>
      <c r="B797" s="182">
        <f>'Labor Rates 2025'!$D$60</f>
        <v>186.79</v>
      </c>
      <c r="C797" s="77">
        <v>40</v>
      </c>
      <c r="D797" s="376">
        <f>B797*C797</f>
        <v>7471.5999999999995</v>
      </c>
      <c r="E797"/>
      <c r="F797" s="251"/>
    </row>
    <row r="798" spans="1:6" x14ac:dyDescent="0.25">
      <c r="A798" s="254" t="s">
        <v>954</v>
      </c>
      <c r="B798" s="182">
        <f>'Labor Rates 2025'!$D$62</f>
        <v>95.79</v>
      </c>
      <c r="C798" s="77">
        <v>40</v>
      </c>
      <c r="D798" s="376">
        <f>B798*C798</f>
        <v>3831.6000000000004</v>
      </c>
      <c r="E798"/>
      <c r="F798" s="251"/>
    </row>
    <row r="799" spans="1:6" x14ac:dyDescent="0.25">
      <c r="A799" s="254" t="s">
        <v>956</v>
      </c>
      <c r="B799" s="182">
        <f>'Labor Rates 2025'!$D$61</f>
        <v>82.66</v>
      </c>
      <c r="C799" s="77">
        <v>16</v>
      </c>
      <c r="D799" s="376">
        <f>B799*C799</f>
        <v>1322.56</v>
      </c>
      <c r="E799" s="73"/>
      <c r="F799" s="251"/>
    </row>
    <row r="800" spans="1:6" x14ac:dyDescent="0.25">
      <c r="A800" s="250" t="s">
        <v>961</v>
      </c>
      <c r="B800" s="498">
        <f>'Labor Rates 2025'!$C$51</f>
        <v>0</v>
      </c>
      <c r="C800" s="296">
        <v>16</v>
      </c>
      <c r="D800" s="377">
        <f>B800*C800</f>
        <v>0</v>
      </c>
      <c r="E800" s="73"/>
      <c r="F800" s="251"/>
    </row>
    <row r="801" spans="1:7" x14ac:dyDescent="0.25">
      <c r="A801" s="18" t="s">
        <v>962</v>
      </c>
      <c r="B801" s="180"/>
      <c r="C801" s="180"/>
      <c r="D801" s="380">
        <f>SUM(D796:D800)</f>
        <v>14470.16</v>
      </c>
      <c r="E801" s="253"/>
      <c r="F801" s="255"/>
    </row>
    <row r="802" spans="1:7" x14ac:dyDescent="0.25">
      <c r="C802"/>
      <c r="D802"/>
      <c r="E802"/>
    </row>
    <row r="803" spans="1:7" x14ac:dyDescent="0.25">
      <c r="C803"/>
      <c r="D803"/>
      <c r="E803"/>
    </row>
    <row r="805" spans="1:7" x14ac:dyDescent="0.25">
      <c r="A805" s="3"/>
      <c r="B805" t="s">
        <v>963</v>
      </c>
    </row>
    <row r="806" spans="1:7" x14ac:dyDescent="0.25">
      <c r="A806" s="3"/>
      <c r="B806" s="18" t="s">
        <v>964</v>
      </c>
    </row>
    <row r="807" spans="1:7" x14ac:dyDescent="0.25">
      <c r="B807" s="948" t="s">
        <v>965</v>
      </c>
      <c r="C807" s="948"/>
      <c r="D807" s="948"/>
      <c r="E807" s="948"/>
      <c r="F807" s="948" t="s">
        <v>966</v>
      </c>
      <c r="G807" s="948"/>
    </row>
    <row r="808" spans="1:7" x14ac:dyDescent="0.25">
      <c r="B808" s="948" t="s">
        <v>967</v>
      </c>
      <c r="C808" s="948"/>
      <c r="D808" s="948" t="s">
        <v>968</v>
      </c>
      <c r="E808" s="948" t="s">
        <v>969</v>
      </c>
      <c r="F808" s="948" t="s">
        <v>968</v>
      </c>
      <c r="G808" s="948" t="s">
        <v>970</v>
      </c>
    </row>
    <row r="809" spans="1:7" ht="30" x14ac:dyDescent="0.25">
      <c r="A809" s="356" t="s">
        <v>971</v>
      </c>
      <c r="B809" s="355" t="s">
        <v>972</v>
      </c>
      <c r="C809" s="354" t="s">
        <v>973</v>
      </c>
      <c r="D809" s="948"/>
      <c r="E809" s="948"/>
      <c r="F809" s="948"/>
      <c r="G809" s="948"/>
    </row>
    <row r="810" spans="1:7" x14ac:dyDescent="0.25">
      <c r="A810" s="200" t="s">
        <v>974</v>
      </c>
      <c r="B810" s="189">
        <v>2</v>
      </c>
      <c r="C810" s="189">
        <v>1</v>
      </c>
      <c r="D810" s="189">
        <v>1</v>
      </c>
      <c r="E810" s="189">
        <v>1</v>
      </c>
      <c r="F810" s="189"/>
      <c r="G810" s="189"/>
    </row>
    <row r="811" spans="1:7" x14ac:dyDescent="0.25">
      <c r="A811" s="200" t="s">
        <v>975</v>
      </c>
      <c r="B811" s="189">
        <v>2</v>
      </c>
      <c r="C811" s="189">
        <v>1</v>
      </c>
      <c r="D811" s="189">
        <v>1</v>
      </c>
      <c r="E811" s="189">
        <v>1</v>
      </c>
      <c r="F811" s="189">
        <v>1</v>
      </c>
      <c r="G811" s="189">
        <v>2</v>
      </c>
    </row>
    <row r="812" spans="1:7" x14ac:dyDescent="0.25">
      <c r="A812" s="200" t="s">
        <v>976</v>
      </c>
      <c r="B812" s="189">
        <v>6</v>
      </c>
      <c r="C812" s="189">
        <v>3</v>
      </c>
      <c r="D812" s="189">
        <v>3</v>
      </c>
      <c r="E812" s="189">
        <v>3</v>
      </c>
      <c r="F812" s="189"/>
      <c r="G812" s="189"/>
    </row>
    <row r="813" spans="1:7" x14ac:dyDescent="0.25">
      <c r="A813" s="200" t="s">
        <v>977</v>
      </c>
      <c r="B813" s="189">
        <v>20</v>
      </c>
      <c r="C813" s="189">
        <v>10</v>
      </c>
      <c r="D813" s="189">
        <v>10</v>
      </c>
      <c r="E813" s="189">
        <v>10</v>
      </c>
      <c r="F813" s="189"/>
      <c r="G813" s="189"/>
    </row>
    <row r="814" spans="1:7" x14ac:dyDescent="0.25">
      <c r="A814" s="200" t="s">
        <v>978</v>
      </c>
      <c r="B814" s="189">
        <v>20</v>
      </c>
      <c r="C814" s="189">
        <v>10</v>
      </c>
      <c r="D814" s="189">
        <v>10</v>
      </c>
      <c r="E814" s="189">
        <v>10</v>
      </c>
      <c r="F814" s="189"/>
      <c r="G814" s="189"/>
    </row>
    <row r="815" spans="1:7" x14ac:dyDescent="0.25">
      <c r="A815" s="200" t="s">
        <v>979</v>
      </c>
      <c r="B815" s="189">
        <v>2</v>
      </c>
      <c r="C815" s="189">
        <v>1</v>
      </c>
      <c r="D815" s="189">
        <v>1</v>
      </c>
      <c r="E815" s="189">
        <v>1</v>
      </c>
      <c r="F815" s="189">
        <v>1</v>
      </c>
      <c r="G815" s="189">
        <v>2</v>
      </c>
    </row>
    <row r="816" spans="1:7" x14ac:dyDescent="0.25">
      <c r="A816" s="200" t="s">
        <v>980</v>
      </c>
      <c r="B816" s="189">
        <v>2</v>
      </c>
      <c r="C816" s="189">
        <v>1</v>
      </c>
      <c r="D816" s="189">
        <v>1</v>
      </c>
      <c r="E816" s="189">
        <v>1</v>
      </c>
      <c r="F816" s="189">
        <v>1</v>
      </c>
      <c r="G816" s="189">
        <v>2</v>
      </c>
    </row>
    <row r="817" spans="1:10" x14ac:dyDescent="0.25">
      <c r="A817" s="200" t="s">
        <v>981</v>
      </c>
      <c r="B817" s="189">
        <v>2</v>
      </c>
      <c r="C817" s="189">
        <v>1</v>
      </c>
      <c r="D817" s="189">
        <v>1</v>
      </c>
      <c r="E817" s="189">
        <v>1</v>
      </c>
      <c r="F817" s="189">
        <v>1</v>
      </c>
      <c r="G817" s="189">
        <v>2</v>
      </c>
    </row>
    <row r="818" spans="1:10" x14ac:dyDescent="0.25">
      <c r="A818" s="200" t="s">
        <v>982</v>
      </c>
      <c r="B818" s="189">
        <v>2</v>
      </c>
      <c r="C818" s="189">
        <v>1</v>
      </c>
      <c r="D818" s="189">
        <v>1</v>
      </c>
      <c r="E818" s="189">
        <v>1</v>
      </c>
      <c r="F818" s="189"/>
      <c r="G818" s="189"/>
    </row>
    <row r="821" spans="1:10" x14ac:dyDescent="0.25">
      <c r="A821" s="3" t="s">
        <v>983</v>
      </c>
      <c r="B821" s="892">
        <f>'AcreageTracking-MAP'!G66+'AcreageTracking-MAP'!G84</f>
        <v>371.49699284639331</v>
      </c>
    </row>
    <row r="822" spans="1:10" x14ac:dyDescent="0.25">
      <c r="A822" s="3" t="s">
        <v>984</v>
      </c>
      <c r="B822" s="892">
        <f>'AcreageTracking-MAP'!G112-B821</f>
        <v>1499.158077880825</v>
      </c>
      <c r="C822" s="167" t="s">
        <v>985</v>
      </c>
    </row>
    <row r="824" spans="1:10" x14ac:dyDescent="0.25">
      <c r="B824" s="18" t="s">
        <v>986</v>
      </c>
    </row>
    <row r="825" spans="1:10" x14ac:dyDescent="0.25">
      <c r="B825" s="18" t="s">
        <v>987</v>
      </c>
    </row>
    <row r="826" spans="1:10" x14ac:dyDescent="0.25">
      <c r="B826" s="948" t="s">
        <v>965</v>
      </c>
      <c r="C826" s="948"/>
      <c r="D826" s="948"/>
      <c r="E826" s="948"/>
      <c r="F826" s="948" t="s">
        <v>966</v>
      </c>
      <c r="G826" s="948"/>
    </row>
    <row r="827" spans="1:10" x14ac:dyDescent="0.25">
      <c r="B827" s="948" t="s">
        <v>967</v>
      </c>
      <c r="C827" s="948"/>
      <c r="D827" s="948" t="s">
        <v>968</v>
      </c>
      <c r="E827" s="948" t="s">
        <v>969</v>
      </c>
      <c r="F827" s="948" t="s">
        <v>968</v>
      </c>
      <c r="G827" s="948" t="s">
        <v>970</v>
      </c>
      <c r="I827" s="167" t="s">
        <v>930</v>
      </c>
    </row>
    <row r="828" spans="1:10" ht="30" x14ac:dyDescent="0.25">
      <c r="A828" s="356" t="s">
        <v>971</v>
      </c>
      <c r="B828" s="355" t="s">
        <v>972</v>
      </c>
      <c r="C828" s="354" t="s">
        <v>973</v>
      </c>
      <c r="D828" s="948"/>
      <c r="E828" s="948"/>
      <c r="F828" s="948"/>
      <c r="G828" s="948"/>
      <c r="H828" s="363" t="s">
        <v>933</v>
      </c>
      <c r="I828" s="363" t="s">
        <v>934</v>
      </c>
      <c r="J828" s="363" t="s">
        <v>935</v>
      </c>
    </row>
    <row r="829" spans="1:10" x14ac:dyDescent="0.25">
      <c r="A829" s="200" t="s">
        <v>974</v>
      </c>
      <c r="B829" s="215">
        <f t="shared" ref="B829:C837" si="198">($B$822/2)/B810</f>
        <v>374.78951947020624</v>
      </c>
      <c r="C829" s="215">
        <f t="shared" si="198"/>
        <v>749.57903894041249</v>
      </c>
      <c r="D829" s="953" t="s">
        <v>988</v>
      </c>
      <c r="E829" s="954"/>
      <c r="F829" s="189"/>
      <c r="G829" s="189"/>
      <c r="H829" s="284">
        <f t="shared" ref="H829:H837" si="199">SUM(B829:G829)</f>
        <v>1124.3685584106188</v>
      </c>
      <c r="I829" s="386">
        <v>22</v>
      </c>
      <c r="J829" s="364">
        <f t="shared" ref="J829:J836" si="200">H829*I829</f>
        <v>24736.108285033613</v>
      </c>
    </row>
    <row r="830" spans="1:10" x14ac:dyDescent="0.25">
      <c r="A830" s="200" t="s">
        <v>975</v>
      </c>
      <c r="B830" s="215">
        <f t="shared" si="198"/>
        <v>374.78951947020624</v>
      </c>
      <c r="C830" s="215">
        <f t="shared" si="198"/>
        <v>749.57903894041249</v>
      </c>
      <c r="D830" s="189"/>
      <c r="E830" s="189"/>
      <c r="F830" s="357">
        <f>($B$821/2)/F811</f>
        <v>185.74849642319666</v>
      </c>
      <c r="G830" s="357">
        <f>($B$821/2)/G811</f>
        <v>92.874248211598328</v>
      </c>
      <c r="H830" s="284">
        <f t="shared" si="199"/>
        <v>1402.9913030454138</v>
      </c>
      <c r="I830" s="386">
        <v>25</v>
      </c>
      <c r="J830" s="364">
        <f t="shared" si="200"/>
        <v>35074.782576135345</v>
      </c>
    </row>
    <row r="831" spans="1:10" x14ac:dyDescent="0.25">
      <c r="A831" s="200" t="s">
        <v>976</v>
      </c>
      <c r="B831" s="215">
        <f t="shared" si="198"/>
        <v>124.92983982340208</v>
      </c>
      <c r="C831" s="215">
        <f t="shared" si="198"/>
        <v>249.85967964680415</v>
      </c>
      <c r="D831" s="189"/>
      <c r="E831" s="189"/>
      <c r="F831" s="189"/>
      <c r="G831" s="189"/>
      <c r="H831" s="284">
        <f t="shared" si="199"/>
        <v>374.78951947020624</v>
      </c>
      <c r="I831" s="386">
        <v>180</v>
      </c>
      <c r="J831" s="364">
        <f t="shared" si="200"/>
        <v>67462.11350463712</v>
      </c>
    </row>
    <row r="832" spans="1:10" x14ac:dyDescent="0.25">
      <c r="A832" s="200" t="s">
        <v>977</v>
      </c>
      <c r="B832" s="215">
        <f t="shared" si="198"/>
        <v>37.478951947020626</v>
      </c>
      <c r="C832" s="215">
        <f t="shared" si="198"/>
        <v>74.957903894041252</v>
      </c>
      <c r="D832" s="189"/>
      <c r="E832" s="189"/>
      <c r="F832" s="189"/>
      <c r="G832" s="189"/>
      <c r="H832" s="284">
        <f t="shared" si="199"/>
        <v>112.43685584106188</v>
      </c>
      <c r="I832" s="386">
        <v>180</v>
      </c>
      <c r="J832" s="364">
        <f t="shared" si="200"/>
        <v>20238.634051391138</v>
      </c>
    </row>
    <row r="833" spans="1:10" x14ac:dyDescent="0.25">
      <c r="A833" s="200" t="s">
        <v>978</v>
      </c>
      <c r="B833" s="215">
        <f t="shared" si="198"/>
        <v>37.478951947020626</v>
      </c>
      <c r="C833" s="215">
        <f t="shared" si="198"/>
        <v>74.957903894041252</v>
      </c>
      <c r="D833" s="189"/>
      <c r="E833" s="189"/>
      <c r="F833" s="189"/>
      <c r="G833" s="189"/>
      <c r="H833" s="284">
        <f t="shared" si="199"/>
        <v>112.43685584106188</v>
      </c>
      <c r="I833" s="386">
        <v>38</v>
      </c>
      <c r="J833" s="364">
        <f t="shared" si="200"/>
        <v>4272.6005219603512</v>
      </c>
    </row>
    <row r="834" spans="1:10" x14ac:dyDescent="0.25">
      <c r="A834" s="200" t="s">
        <v>979</v>
      </c>
      <c r="B834" s="215">
        <f t="shared" si="198"/>
        <v>374.78951947020624</v>
      </c>
      <c r="C834" s="215">
        <f t="shared" si="198"/>
        <v>749.57903894041249</v>
      </c>
      <c r="D834" s="189"/>
      <c r="E834" s="189"/>
      <c r="F834" s="357">
        <f t="shared" ref="F834:G836" si="201">($B$821/2)/F815</f>
        <v>185.74849642319666</v>
      </c>
      <c r="G834" s="357">
        <f t="shared" si="201"/>
        <v>92.874248211598328</v>
      </c>
      <c r="H834" s="284">
        <f t="shared" si="199"/>
        <v>1402.9913030454138</v>
      </c>
      <c r="I834" s="386">
        <v>63</v>
      </c>
      <c r="J834" s="364">
        <f t="shared" si="200"/>
        <v>88388.452091861065</v>
      </c>
    </row>
    <row r="835" spans="1:10" x14ac:dyDescent="0.25">
      <c r="A835" s="200" t="s">
        <v>980</v>
      </c>
      <c r="B835" s="215">
        <f t="shared" si="198"/>
        <v>374.78951947020624</v>
      </c>
      <c r="C835" s="215">
        <f t="shared" si="198"/>
        <v>749.57903894041249</v>
      </c>
      <c r="D835" s="189"/>
      <c r="E835" s="189"/>
      <c r="F835" s="357">
        <f t="shared" si="201"/>
        <v>185.74849642319666</v>
      </c>
      <c r="G835" s="357">
        <f t="shared" si="201"/>
        <v>92.874248211598328</v>
      </c>
      <c r="H835" s="284">
        <f t="shared" si="199"/>
        <v>1402.9913030454138</v>
      </c>
      <c r="I835" s="386">
        <v>36</v>
      </c>
      <c r="J835" s="364">
        <f t="shared" si="200"/>
        <v>50507.686909634896</v>
      </c>
    </row>
    <row r="836" spans="1:10" x14ac:dyDescent="0.25">
      <c r="A836" s="200" t="s">
        <v>981</v>
      </c>
      <c r="B836" s="215">
        <f t="shared" si="198"/>
        <v>374.78951947020624</v>
      </c>
      <c r="C836" s="215">
        <f t="shared" si="198"/>
        <v>749.57903894041249</v>
      </c>
      <c r="D836" s="189"/>
      <c r="E836" s="189"/>
      <c r="F836" s="357">
        <f t="shared" si="201"/>
        <v>185.74849642319666</v>
      </c>
      <c r="G836" s="357">
        <f t="shared" si="201"/>
        <v>92.874248211598328</v>
      </c>
      <c r="H836" s="284">
        <f t="shared" si="199"/>
        <v>1402.9913030454138</v>
      </c>
      <c r="I836" s="386">
        <v>49</v>
      </c>
      <c r="J836" s="364">
        <f t="shared" si="200"/>
        <v>68746.573849225271</v>
      </c>
    </row>
    <row r="837" spans="1:10" x14ac:dyDescent="0.25">
      <c r="A837" s="200" t="s">
        <v>982</v>
      </c>
      <c r="B837" s="215">
        <f t="shared" si="198"/>
        <v>374.78951947020624</v>
      </c>
      <c r="C837" s="215">
        <f t="shared" si="198"/>
        <v>749.57903894041249</v>
      </c>
      <c r="D837" s="189"/>
      <c r="E837" s="189"/>
      <c r="F837" s="189"/>
      <c r="G837" s="189"/>
      <c r="H837" s="284">
        <f t="shared" si="199"/>
        <v>1124.3685584106188</v>
      </c>
      <c r="I837" s="386">
        <v>45</v>
      </c>
      <c r="J837" s="364">
        <f>H837*I837</f>
        <v>50596.585128477847</v>
      </c>
    </row>
    <row r="838" spans="1:10" x14ac:dyDescent="0.25">
      <c r="A838" s="241" t="s">
        <v>941</v>
      </c>
      <c r="B838" s="223"/>
      <c r="C838" s="223"/>
      <c r="D838" s="77"/>
      <c r="E838" s="77"/>
      <c r="F838" s="77"/>
      <c r="G838" s="77"/>
      <c r="H838" s="93"/>
      <c r="I838" s="239"/>
      <c r="J838" s="389">
        <f>H840*10</f>
        <v>84603.655601552236</v>
      </c>
    </row>
    <row r="839" spans="1:10" x14ac:dyDescent="0.25">
      <c r="A839" s="241" t="s">
        <v>942</v>
      </c>
      <c r="B839" s="361"/>
      <c r="C839" s="387"/>
      <c r="E839" s="239"/>
      <c r="F839" s="388"/>
      <c r="G839" s="9"/>
      <c r="H839" s="393"/>
      <c r="I839" s="8"/>
      <c r="J839" s="394">
        <f>H840*3</f>
        <v>25381.096680465671</v>
      </c>
    </row>
    <row r="840" spans="1:10" x14ac:dyDescent="0.25">
      <c r="F840" s="368"/>
      <c r="G840" s="220" t="s">
        <v>943</v>
      </c>
      <c r="H840" s="94">
        <f>SUM(H829:H837)</f>
        <v>8460.3655601552236</v>
      </c>
      <c r="J840" s="365">
        <f>SUM(J829:J839)</f>
        <v>520008.28920037451</v>
      </c>
    </row>
    <row r="842" spans="1:10" x14ac:dyDescent="0.25">
      <c r="A842" s="409" t="s">
        <v>989</v>
      </c>
      <c r="B842" s="30"/>
      <c r="C842" s="30"/>
      <c r="D842" s="410">
        <f>D791+D801+J840</f>
        <v>601457.64920037449</v>
      </c>
      <c r="E842"/>
    </row>
    <row r="847" spans="1:10" x14ac:dyDescent="0.25">
      <c r="A847" s="26" t="s">
        <v>990</v>
      </c>
      <c r="B847" s="30"/>
      <c r="C847" s="30"/>
      <c r="D847" s="30"/>
      <c r="E847" s="30"/>
    </row>
    <row r="848" spans="1:10" x14ac:dyDescent="0.25">
      <c r="C848"/>
      <c r="D848"/>
      <c r="E848"/>
    </row>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78" spans="1:3" x14ac:dyDescent="0.25">
      <c r="A878" s="73" t="s">
        <v>991</v>
      </c>
      <c r="B878" s="73">
        <v>784068</v>
      </c>
      <c r="C878" s="1" t="s">
        <v>992</v>
      </c>
    </row>
    <row r="879" spans="1:3" x14ac:dyDescent="0.25">
      <c r="A879" s="73" t="s">
        <v>993</v>
      </c>
      <c r="B879" s="232">
        <f>B878/43560</f>
        <v>17.999724517906337</v>
      </c>
    </row>
    <row r="880" spans="1:3" x14ac:dyDescent="0.25">
      <c r="A880" s="73" t="s">
        <v>994</v>
      </c>
      <c r="B880" s="232">
        <f>B879*0.2</f>
        <v>3.5999449035812674</v>
      </c>
      <c r="C880" s="167" t="s">
        <v>995</v>
      </c>
    </row>
    <row r="882" spans="1:5" x14ac:dyDescent="0.25">
      <c r="A882" s="73" t="s">
        <v>996</v>
      </c>
      <c r="B882">
        <v>16</v>
      </c>
    </row>
    <row r="883" spans="1:5" x14ac:dyDescent="0.25">
      <c r="A883" s="73" t="s">
        <v>997</v>
      </c>
      <c r="B883" s="93">
        <f>B880*B882</f>
        <v>57.599118457300278</v>
      </c>
    </row>
    <row r="884" spans="1:5" x14ac:dyDescent="0.25">
      <c r="A884" s="73" t="s">
        <v>998</v>
      </c>
      <c r="B884" s="73">
        <v>140</v>
      </c>
      <c r="C884" s="167" t="s">
        <v>1971</v>
      </c>
    </row>
    <row r="885" spans="1:5" x14ac:dyDescent="0.25">
      <c r="A885" s="188" t="s">
        <v>999</v>
      </c>
      <c r="B885" s="416">
        <f>B883*B884</f>
        <v>8063.8765840220385</v>
      </c>
    </row>
    <row r="887" spans="1:5" x14ac:dyDescent="0.25">
      <c r="A887" s="351"/>
      <c r="E887"/>
    </row>
    <row r="888" spans="1:5" x14ac:dyDescent="0.25">
      <c r="A888" s="351"/>
      <c r="B888" s="351"/>
      <c r="C888" s="352"/>
      <c r="D888"/>
      <c r="E888"/>
    </row>
    <row r="889" spans="1:5" x14ac:dyDescent="0.25">
      <c r="A889" s="351"/>
      <c r="B889" s="351"/>
      <c r="C889" s="351"/>
      <c r="D889"/>
      <c r="E889"/>
    </row>
    <row r="890" spans="1:5" x14ac:dyDescent="0.25">
      <c r="A890" s="351"/>
      <c r="B890" s="351"/>
      <c r="C890" s="351"/>
      <c r="D890"/>
      <c r="E890"/>
    </row>
    <row r="891" spans="1:5" x14ac:dyDescent="0.25">
      <c r="A891" s="351"/>
      <c r="B891" s="351"/>
      <c r="C891" s="351"/>
      <c r="D891"/>
      <c r="E891"/>
    </row>
    <row r="892" spans="1:5" x14ac:dyDescent="0.25">
      <c r="A892" s="351"/>
      <c r="B892" s="351"/>
      <c r="C892" s="351"/>
      <c r="D892"/>
      <c r="E892"/>
    </row>
    <row r="893" spans="1:5" x14ac:dyDescent="0.25">
      <c r="A893" s="351"/>
      <c r="B893" s="351"/>
      <c r="C893" s="353"/>
      <c r="D893"/>
      <c r="E893"/>
    </row>
    <row r="894" spans="1:5" x14ac:dyDescent="0.25">
      <c r="A894" s="351"/>
      <c r="B894" s="351"/>
      <c r="C894" s="353"/>
      <c r="D894"/>
      <c r="E894"/>
    </row>
    <row r="895" spans="1:5" x14ac:dyDescent="0.25">
      <c r="A895" s="351"/>
      <c r="E895"/>
    </row>
    <row r="896" spans="1:5" x14ac:dyDescent="0.25">
      <c r="A896" s="351"/>
      <c r="E896"/>
    </row>
    <row r="897" spans="1:14" x14ac:dyDescent="0.25">
      <c r="A897" s="351"/>
      <c r="E897"/>
    </row>
    <row r="902" spans="1:14" x14ac:dyDescent="0.25">
      <c r="A902" s="314" t="s">
        <v>1000</v>
      </c>
      <c r="B902" s="30"/>
      <c r="C902" s="30"/>
      <c r="D902" s="30"/>
      <c r="E902"/>
      <c r="N902" s="3"/>
    </row>
    <row r="903" spans="1:14" x14ac:dyDescent="0.25">
      <c r="C903"/>
      <c r="D903"/>
      <c r="E903" s="198"/>
      <c r="N903" s="3"/>
    </row>
    <row r="904" spans="1:14" x14ac:dyDescent="0.25">
      <c r="C904"/>
      <c r="D904"/>
      <c r="E904" s="198"/>
      <c r="N904" s="3"/>
    </row>
    <row r="905" spans="1:14" x14ac:dyDescent="0.25">
      <c r="C905"/>
      <c r="D905"/>
      <c r="E905" s="198"/>
      <c r="N905" s="3"/>
    </row>
    <row r="906" spans="1:14" x14ac:dyDescent="0.25">
      <c r="C906"/>
      <c r="D906"/>
      <c r="E906" s="198"/>
      <c r="N906" s="3"/>
    </row>
    <row r="907" spans="1:14" x14ac:dyDescent="0.25">
      <c r="C907"/>
      <c r="D907"/>
      <c r="E907"/>
      <c r="N907" s="3"/>
    </row>
    <row r="908" spans="1:14" x14ac:dyDescent="0.25">
      <c r="C908"/>
      <c r="D908"/>
      <c r="E908"/>
      <c r="N908" s="3"/>
    </row>
    <row r="909" spans="1:14" x14ac:dyDescent="0.25">
      <c r="C909"/>
      <c r="D909"/>
      <c r="E909" s="198"/>
      <c r="N909" s="3"/>
    </row>
    <row r="910" spans="1:14" x14ac:dyDescent="0.25">
      <c r="C910"/>
      <c r="D910"/>
      <c r="E910"/>
      <c r="N910" s="3"/>
    </row>
    <row r="911" spans="1:14" x14ac:dyDescent="0.25">
      <c r="C911"/>
      <c r="D911"/>
      <c r="E911"/>
      <c r="N911" s="3"/>
    </row>
    <row r="912" spans="1:14" x14ac:dyDescent="0.25">
      <c r="C912"/>
      <c r="D912"/>
      <c r="E912" s="198"/>
      <c r="N912" s="3"/>
    </row>
    <row r="913" spans="1:14" x14ac:dyDescent="0.25">
      <c r="C913"/>
      <c r="D913"/>
      <c r="E913" s="198"/>
      <c r="N913" s="3"/>
    </row>
    <row r="914" spans="1:14" x14ac:dyDescent="0.25">
      <c r="C914"/>
      <c r="D914"/>
      <c r="E914" s="198"/>
      <c r="N914" s="3"/>
    </row>
    <row r="915" spans="1:14" x14ac:dyDescent="0.25">
      <c r="N915" s="3"/>
    </row>
    <row r="916" spans="1:14" x14ac:dyDescent="0.25">
      <c r="N916" s="3"/>
    </row>
    <row r="917" spans="1:14" x14ac:dyDescent="0.25">
      <c r="N917" s="3"/>
    </row>
    <row r="918" spans="1:14" x14ac:dyDescent="0.25">
      <c r="N918" s="3"/>
    </row>
    <row r="919" spans="1:14" x14ac:dyDescent="0.25">
      <c r="A919" s="2"/>
      <c r="B919" s="2"/>
      <c r="C919" s="2"/>
      <c r="D919" s="3"/>
      <c r="N919" s="3"/>
    </row>
    <row r="920" spans="1:14" x14ac:dyDescent="0.25">
      <c r="A920" s="2"/>
      <c r="B920" s="2"/>
      <c r="C920" s="2"/>
      <c r="D920" s="3"/>
      <c r="N920" s="3"/>
    </row>
    <row r="921" spans="1:14" x14ac:dyDescent="0.25">
      <c r="A921" s="2"/>
      <c r="B921" s="2"/>
      <c r="C921" s="2"/>
      <c r="D921" s="3"/>
      <c r="N921" s="3"/>
    </row>
    <row r="922" spans="1:14" x14ac:dyDescent="0.25">
      <c r="A922" s="2"/>
      <c r="B922" s="2"/>
      <c r="C922" s="2"/>
      <c r="D922" s="3"/>
      <c r="N922" s="3"/>
    </row>
    <row r="923" spans="1:14" x14ac:dyDescent="0.25">
      <c r="A923" s="2"/>
      <c r="B923" s="2"/>
      <c r="C923" s="2"/>
      <c r="D923" s="3"/>
      <c r="N923" s="3"/>
    </row>
    <row r="924" spans="1:14" x14ac:dyDescent="0.25">
      <c r="A924" s="2"/>
      <c r="B924" s="2"/>
      <c r="C924" s="2"/>
      <c r="D924" s="3"/>
      <c r="N924" s="3"/>
    </row>
    <row r="925" spans="1:14" x14ac:dyDescent="0.25">
      <c r="A925" s="2"/>
      <c r="B925" s="2"/>
      <c r="C925" s="2"/>
      <c r="D925" s="3"/>
      <c r="G925" s="3"/>
      <c r="H925" s="3"/>
      <c r="M925" s="3"/>
      <c r="N925" s="3"/>
    </row>
    <row r="926" spans="1:14" x14ac:dyDescent="0.25">
      <c r="A926" s="2"/>
      <c r="B926" s="2"/>
      <c r="C926" s="2"/>
      <c r="D926" s="3"/>
      <c r="G926" s="3"/>
      <c r="H926" s="3"/>
      <c r="M926" s="3"/>
      <c r="N926" s="3"/>
    </row>
    <row r="927" spans="1:14" x14ac:dyDescent="0.25">
      <c r="A927" s="2"/>
      <c r="B927" s="2"/>
      <c r="C927" s="2"/>
      <c r="D927" s="3"/>
      <c r="G927" s="3"/>
      <c r="H927" s="3"/>
      <c r="M927" s="3"/>
      <c r="N927" s="3"/>
    </row>
    <row r="928" spans="1:14" x14ac:dyDescent="0.25">
      <c r="A928" s="3"/>
      <c r="B928" s="3"/>
      <c r="G928" s="3"/>
      <c r="H928" s="3"/>
      <c r="M928" s="3"/>
      <c r="N928" s="3"/>
    </row>
    <row r="929" spans="1:14" x14ac:dyDescent="0.25">
      <c r="A929" s="3"/>
      <c r="B929" s="3"/>
      <c r="G929" s="3"/>
      <c r="H929" s="3"/>
      <c r="M929" s="3"/>
      <c r="N929" s="3"/>
    </row>
    <row r="930" spans="1:14" x14ac:dyDescent="0.25">
      <c r="A930" s="3"/>
      <c r="B930" s="3"/>
      <c r="G930" s="3"/>
      <c r="H930" s="3"/>
      <c r="M930" s="3"/>
      <c r="N930" s="3"/>
    </row>
    <row r="931" spans="1:14" x14ac:dyDescent="0.25">
      <c r="A931" s="3"/>
      <c r="B931" s="3"/>
      <c r="G931" s="3"/>
      <c r="H931" s="3"/>
      <c r="M931" s="3"/>
      <c r="N931" s="3"/>
    </row>
    <row r="932" spans="1:14" x14ac:dyDescent="0.25">
      <c r="A932" s="3"/>
      <c r="B932" s="3"/>
      <c r="G932" s="3"/>
      <c r="H932" s="3"/>
      <c r="M932" s="3"/>
      <c r="N932" s="3"/>
    </row>
    <row r="933" spans="1:14" x14ac:dyDescent="0.25">
      <c r="A933" s="3"/>
      <c r="B933" s="3"/>
      <c r="G933" s="3"/>
      <c r="H933" s="3"/>
      <c r="M933" s="3"/>
      <c r="N933" s="3"/>
    </row>
    <row r="973" spans="1:5" ht="18.75" x14ac:dyDescent="0.3">
      <c r="A973" s="314" t="s">
        <v>1001</v>
      </c>
      <c r="B973" s="421"/>
      <c r="C973" s="421"/>
      <c r="D973" s="421"/>
      <c r="E973"/>
    </row>
    <row r="974" spans="1:5" x14ac:dyDescent="0.25">
      <c r="C974"/>
      <c r="D974"/>
      <c r="E974"/>
    </row>
    <row r="975" spans="1:5" x14ac:dyDescent="0.25">
      <c r="C975"/>
      <c r="D975"/>
      <c r="E975"/>
    </row>
    <row r="976" spans="1:5" x14ac:dyDescent="0.25">
      <c r="C976"/>
      <c r="D976"/>
      <c r="E976"/>
    </row>
    <row r="977" spans="3:5" x14ac:dyDescent="0.25">
      <c r="C977"/>
      <c r="D977"/>
      <c r="E977"/>
    </row>
    <row r="978" spans="3:5" x14ac:dyDescent="0.25">
      <c r="C978"/>
      <c r="D978"/>
      <c r="E978"/>
    </row>
    <row r="979" spans="3:5" x14ac:dyDescent="0.25">
      <c r="C979"/>
      <c r="D979"/>
      <c r="E979"/>
    </row>
    <row r="980" spans="3:5" x14ac:dyDescent="0.25">
      <c r="C980"/>
      <c r="D980"/>
      <c r="E980"/>
    </row>
    <row r="981" spans="3:5" x14ac:dyDescent="0.25">
      <c r="C981"/>
      <c r="D981"/>
      <c r="E981"/>
    </row>
    <row r="982" spans="3:5" x14ac:dyDescent="0.25">
      <c r="C982"/>
      <c r="D982"/>
      <c r="E982"/>
    </row>
    <row r="985" spans="3:5" x14ac:dyDescent="0.25">
      <c r="C985"/>
      <c r="D985"/>
      <c r="E985"/>
    </row>
    <row r="986" spans="3:5" x14ac:dyDescent="0.25">
      <c r="D986"/>
      <c r="E986"/>
    </row>
  </sheetData>
  <mergeCells count="86">
    <mergeCell ref="E174:P174"/>
    <mergeCell ref="E175:P175"/>
    <mergeCell ref="E176:P176"/>
    <mergeCell ref="E177:P177"/>
    <mergeCell ref="E178:P178"/>
    <mergeCell ref="E181:P181"/>
    <mergeCell ref="E245:P245"/>
    <mergeCell ref="A309:C309"/>
    <mergeCell ref="A265:E265"/>
    <mergeCell ref="E218:P218"/>
    <mergeCell ref="E182:P182"/>
    <mergeCell ref="E183:P183"/>
    <mergeCell ref="E184:P184"/>
    <mergeCell ref="E252:P252"/>
    <mergeCell ref="E225:P225"/>
    <mergeCell ref="E235:P235"/>
    <mergeCell ref="E236:P236"/>
    <mergeCell ref="E228:P228"/>
    <mergeCell ref="E239:P239"/>
    <mergeCell ref="E240:P240"/>
    <mergeCell ref="E201:P201"/>
    <mergeCell ref="Q9:R9"/>
    <mergeCell ref="A6:S6"/>
    <mergeCell ref="A1:E1"/>
    <mergeCell ref="A2:E2"/>
    <mergeCell ref="A3:E3"/>
    <mergeCell ref="A4:E4"/>
    <mergeCell ref="G9:H9"/>
    <mergeCell ref="I9:J9"/>
    <mergeCell ref="K9:L9"/>
    <mergeCell ref="M9:N9"/>
    <mergeCell ref="C8:E8"/>
    <mergeCell ref="O9:P9"/>
    <mergeCell ref="A174:C174"/>
    <mergeCell ref="E214:P214"/>
    <mergeCell ref="E222:P222"/>
    <mergeCell ref="E224:P224"/>
    <mergeCell ref="E210:P210"/>
    <mergeCell ref="A211:C211"/>
    <mergeCell ref="E211:P211"/>
    <mergeCell ref="E212:P212"/>
    <mergeCell ref="E213:P213"/>
    <mergeCell ref="E205:P205"/>
    <mergeCell ref="E208:P208"/>
    <mergeCell ref="E209:P209"/>
    <mergeCell ref="E185:P185"/>
    <mergeCell ref="E195:P195"/>
    <mergeCell ref="E197:P197"/>
    <mergeCell ref="E198:P198"/>
    <mergeCell ref="E179:P179"/>
    <mergeCell ref="D829:E829"/>
    <mergeCell ref="B826:E826"/>
    <mergeCell ref="F826:G826"/>
    <mergeCell ref="B827:C827"/>
    <mergeCell ref="D827:D828"/>
    <mergeCell ref="E827:E828"/>
    <mergeCell ref="F827:F828"/>
    <mergeCell ref="G827:G828"/>
    <mergeCell ref="F807:G807"/>
    <mergeCell ref="B807:E807"/>
    <mergeCell ref="B808:C808"/>
    <mergeCell ref="G808:G809"/>
    <mergeCell ref="F808:F809"/>
    <mergeCell ref="E808:E809"/>
    <mergeCell ref="E180:P180"/>
    <mergeCell ref="D808:D809"/>
    <mergeCell ref="E237:P237"/>
    <mergeCell ref="E249:P249"/>
    <mergeCell ref="E241:P241"/>
    <mergeCell ref="A186:C186"/>
    <mergeCell ref="E186:P186"/>
    <mergeCell ref="E187:P187"/>
    <mergeCell ref="E188:P188"/>
    <mergeCell ref="E189:P189"/>
    <mergeCell ref="E230:P230"/>
    <mergeCell ref="E231:P231"/>
    <mergeCell ref="E232:P232"/>
    <mergeCell ref="A238:C238"/>
    <mergeCell ref="E238:P238"/>
    <mergeCell ref="E203:P203"/>
    <mergeCell ref="E204:P204"/>
    <mergeCell ref="E251:P251"/>
    <mergeCell ref="E255:P255"/>
    <mergeCell ref="E257:P257"/>
    <mergeCell ref="E258:P258"/>
    <mergeCell ref="E259:P259"/>
  </mergeCells>
  <phoneticPr fontId="15" type="noConversion"/>
  <printOptions gridLines="1"/>
  <pageMargins left="0.25" right="0.25" top="0.75" bottom="0.75" header="0.3" footer="0.3"/>
  <pageSetup scale="28"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52DAE-4D0A-4A44-A590-28463A28E06E}">
  <sheetPr codeName="Sheet19">
    <tabColor rgb="FFFFFF00"/>
    <pageSetUpPr fitToPage="1"/>
  </sheetPr>
  <dimension ref="A1:U90"/>
  <sheetViews>
    <sheetView zoomScale="85" zoomScaleNormal="85" workbookViewId="0">
      <selection activeCell="B7" sqref="B7:F7"/>
    </sheetView>
  </sheetViews>
  <sheetFormatPr defaultRowHeight="15" x14ac:dyDescent="0.25"/>
  <cols>
    <col min="1" max="1" width="56.28515625" customWidth="1"/>
    <col min="2" max="2" width="50.7109375" customWidth="1"/>
    <col min="3" max="3" width="8.42578125" customWidth="1"/>
    <col min="4" max="4" width="15.7109375" customWidth="1"/>
    <col min="5" max="5" width="5.7109375" customWidth="1"/>
    <col min="6" max="6" width="15.7109375" customWidth="1"/>
    <col min="7" max="7" width="5.7109375" customWidth="1"/>
    <col min="8" max="8" width="17.140625" customWidth="1"/>
    <col min="9" max="9" width="13.42578125" customWidth="1"/>
    <col min="10" max="10" width="36.28515625" bestFit="1" customWidth="1"/>
  </cols>
  <sheetData>
    <row r="1" spans="1:10" ht="15.6" customHeight="1" x14ac:dyDescent="0.25">
      <c r="A1" s="926" t="str">
        <f>Summary!A1</f>
        <v>Montana Resources, LLC</v>
      </c>
      <c r="B1" s="926"/>
      <c r="C1" s="926"/>
      <c r="D1" s="926"/>
      <c r="E1" s="926"/>
      <c r="F1" s="926"/>
      <c r="G1" s="44"/>
      <c r="H1" s="458"/>
    </row>
    <row r="2" spans="1:10" ht="15.6" customHeight="1" x14ac:dyDescent="0.25">
      <c r="A2" s="926" t="str">
        <f>Summary!A2</f>
        <v>Operating Permit #00030</v>
      </c>
      <c r="B2" s="926"/>
      <c r="C2" s="926"/>
      <c r="D2" s="926"/>
      <c r="E2" s="926"/>
      <c r="F2" s="926"/>
      <c r="G2" s="44"/>
      <c r="H2" s="458"/>
    </row>
    <row r="3" spans="1:10" ht="15.6" customHeight="1" x14ac:dyDescent="0.25">
      <c r="A3" s="926" t="str">
        <f>Summary!A3</f>
        <v>Final Comprehensive 5-Year Bond Review</v>
      </c>
      <c r="B3" s="926"/>
      <c r="C3" s="926"/>
      <c r="D3" s="926"/>
      <c r="E3" s="926"/>
      <c r="F3" s="926"/>
      <c r="G3" s="44"/>
      <c r="H3" s="458"/>
    </row>
    <row r="4" spans="1:10" ht="15.6" customHeight="1" x14ac:dyDescent="0.25">
      <c r="A4" s="925">
        <f>Summary!A4</f>
        <v>46146</v>
      </c>
      <c r="B4" s="925"/>
      <c r="C4" s="925"/>
      <c r="D4" s="925"/>
      <c r="E4" s="925"/>
      <c r="F4" s="925"/>
      <c r="G4" s="44"/>
      <c r="H4" s="44"/>
      <c r="I4" s="44"/>
      <c r="J4" s="44"/>
    </row>
    <row r="5" spans="1:10" ht="15.75" x14ac:dyDescent="0.25">
      <c r="A5" s="44"/>
      <c r="B5" s="44"/>
      <c r="C5" s="44"/>
      <c r="D5" s="44"/>
      <c r="E5" s="44"/>
      <c r="F5" s="458"/>
      <c r="G5" s="44"/>
      <c r="H5" s="44"/>
      <c r="I5" s="44"/>
      <c r="J5" s="44"/>
    </row>
    <row r="6" spans="1:10" ht="15.75" x14ac:dyDescent="0.25">
      <c r="A6" s="914" t="s">
        <v>244</v>
      </c>
      <c r="B6" s="914"/>
      <c r="C6" s="914"/>
      <c r="D6" s="914"/>
      <c r="E6" s="914"/>
      <c r="F6" s="914"/>
      <c r="G6" s="914"/>
      <c r="H6" s="914"/>
      <c r="I6" s="3"/>
      <c r="J6" s="3"/>
    </row>
    <row r="7" spans="1:10" x14ac:dyDescent="0.25">
      <c r="A7" s="144"/>
      <c r="B7" s="3" t="s">
        <v>590</v>
      </c>
      <c r="E7" s="144"/>
      <c r="F7" s="144"/>
      <c r="G7" s="144"/>
      <c r="H7" s="144"/>
      <c r="I7" s="3"/>
      <c r="J7" s="3"/>
    </row>
    <row r="8" spans="1:10" s="2" customFormat="1" x14ac:dyDescent="0.25">
      <c r="A8" s="464" t="s">
        <v>1002</v>
      </c>
      <c r="B8" s="958" t="s">
        <v>598</v>
      </c>
      <c r="C8" s="958"/>
      <c r="D8" s="958" t="s">
        <v>1003</v>
      </c>
      <c r="E8" s="958"/>
      <c r="F8" s="958" t="s">
        <v>1004</v>
      </c>
      <c r="G8" s="958"/>
      <c r="H8" s="464" t="s">
        <v>239</v>
      </c>
      <c r="I8" s="9"/>
      <c r="J8" s="464" t="s">
        <v>240</v>
      </c>
    </row>
    <row r="9" spans="1:10" x14ac:dyDescent="0.25">
      <c r="A9" s="50" t="s">
        <v>1932</v>
      </c>
      <c r="B9" s="50"/>
      <c r="C9" s="50"/>
      <c r="D9" s="50"/>
      <c r="E9" s="50"/>
      <c r="F9" s="50"/>
      <c r="G9" s="50"/>
      <c r="H9" s="65"/>
    </row>
    <row r="10" spans="1:10" x14ac:dyDescent="0.25">
      <c r="A10" s="456" t="s">
        <v>1005</v>
      </c>
      <c r="B10" s="30"/>
      <c r="C10" s="30"/>
      <c r="D10" s="30"/>
      <c r="E10" s="30"/>
      <c r="F10" s="39"/>
      <c r="G10" s="39"/>
      <c r="H10" s="40"/>
    </row>
    <row r="11" spans="1:10" x14ac:dyDescent="0.25">
      <c r="A11" s="460" t="s">
        <v>1006</v>
      </c>
      <c r="B11" s="92">
        <f>'AcreageTracking-MAP'!G68</f>
        <v>101.90455669807506</v>
      </c>
      <c r="C11" t="s">
        <v>366</v>
      </c>
      <c r="D11" s="19">
        <f t="shared" ref="D11:D22" si="0">$B$72+$B$55</f>
        <v>1500</v>
      </c>
      <c r="E11" s="32" t="s">
        <v>392</v>
      </c>
      <c r="F11" s="272">
        <v>0</v>
      </c>
      <c r="G11" s="32" t="s">
        <v>392</v>
      </c>
      <c r="H11" s="19">
        <f>(D11+F11)*B11</f>
        <v>152856.83504711257</v>
      </c>
      <c r="J11" s="73" t="s">
        <v>1007</v>
      </c>
    </row>
    <row r="12" spans="1:10" x14ac:dyDescent="0.25">
      <c r="A12" s="460" t="s">
        <v>1008</v>
      </c>
      <c r="B12" s="92">
        <f>'AcreageTracking-MAP'!G69</f>
        <v>8.3718617370696489</v>
      </c>
      <c r="C12" t="s">
        <v>366</v>
      </c>
      <c r="D12" s="632">
        <f t="shared" si="0"/>
        <v>1500</v>
      </c>
      <c r="E12" s="893" t="s">
        <v>392</v>
      </c>
      <c r="F12" s="894">
        <v>0</v>
      </c>
      <c r="G12" s="893" t="s">
        <v>392</v>
      </c>
      <c r="H12" s="632">
        <f t="shared" ref="H12:H47" si="1">(D12+F12)*B12</f>
        <v>12557.792605604473</v>
      </c>
      <c r="J12" s="73" t="s">
        <v>1007</v>
      </c>
    </row>
    <row r="13" spans="1:10" x14ac:dyDescent="0.25">
      <c r="A13" s="460" t="s">
        <v>2178</v>
      </c>
      <c r="B13" s="92">
        <f>'AcreageTracking-MAP'!G67</f>
        <v>90.791350625113338</v>
      </c>
      <c r="C13" t="s">
        <v>366</v>
      </c>
      <c r="D13" s="632">
        <f t="shared" si="0"/>
        <v>1500</v>
      </c>
      <c r="E13" s="893" t="s">
        <v>392</v>
      </c>
      <c r="F13" s="894">
        <v>0</v>
      </c>
      <c r="G13" s="893" t="s">
        <v>392</v>
      </c>
      <c r="H13" s="632">
        <f t="shared" si="1"/>
        <v>136187.02593767</v>
      </c>
      <c r="J13" s="73"/>
    </row>
    <row r="14" spans="1:10" x14ac:dyDescent="0.25">
      <c r="A14" s="460" t="s">
        <v>2157</v>
      </c>
      <c r="B14" s="92">
        <f>'AcreageTracking-MAP'!G64</f>
        <v>23.153899999999997</v>
      </c>
      <c r="C14" t="s">
        <v>366</v>
      </c>
      <c r="D14" s="632">
        <f t="shared" si="0"/>
        <v>1500</v>
      </c>
      <c r="E14" s="893" t="s">
        <v>392</v>
      </c>
      <c r="F14" s="894">
        <v>0</v>
      </c>
      <c r="G14" s="893" t="s">
        <v>392</v>
      </c>
      <c r="H14" s="632">
        <f t="shared" ref="H14" si="2">(D14+F14)*B14</f>
        <v>34730.849999999991</v>
      </c>
      <c r="J14" s="73" t="s">
        <v>2194</v>
      </c>
    </row>
    <row r="15" spans="1:10" x14ac:dyDescent="0.25">
      <c r="A15" s="460" t="s">
        <v>310</v>
      </c>
      <c r="B15" s="92">
        <f>'AcreageTracking-MAP'!G82</f>
        <v>735.55016220001869</v>
      </c>
      <c r="C15" t="s">
        <v>366</v>
      </c>
      <c r="D15" s="632">
        <f t="shared" si="0"/>
        <v>1500</v>
      </c>
      <c r="E15" s="893" t="s">
        <v>392</v>
      </c>
      <c r="F15" s="894">
        <v>0</v>
      </c>
      <c r="G15" s="893" t="s">
        <v>392</v>
      </c>
      <c r="H15" s="632">
        <f t="shared" si="1"/>
        <v>1103325.2433000281</v>
      </c>
      <c r="J15" s="73"/>
    </row>
    <row r="16" spans="1:10" x14ac:dyDescent="0.25">
      <c r="A16" s="460" t="s">
        <v>2180</v>
      </c>
      <c r="B16" s="92">
        <f>'2-Earthmoving'!D695</f>
        <v>44.930815500076413</v>
      </c>
      <c r="C16" t="s">
        <v>2185</v>
      </c>
      <c r="D16" s="632">
        <f t="shared" si="0"/>
        <v>1500</v>
      </c>
      <c r="E16" s="893" t="s">
        <v>392</v>
      </c>
      <c r="F16" s="894">
        <v>0</v>
      </c>
      <c r="G16" s="893" t="s">
        <v>392</v>
      </c>
      <c r="I16" s="632">
        <f>(D16+F16)*B16</f>
        <v>67396.223250114621</v>
      </c>
      <c r="J16" s="73" t="s">
        <v>2159</v>
      </c>
    </row>
    <row r="17" spans="1:21" x14ac:dyDescent="0.25">
      <c r="A17" s="460" t="s">
        <v>2181</v>
      </c>
      <c r="B17" s="92">
        <f>'2-Earthmoving'!E695</f>
        <v>9.0700489229407726</v>
      </c>
      <c r="C17" t="s">
        <v>2185</v>
      </c>
      <c r="D17" s="632">
        <f t="shared" si="0"/>
        <v>1500</v>
      </c>
      <c r="E17" s="893" t="s">
        <v>392</v>
      </c>
      <c r="F17" s="894">
        <v>0</v>
      </c>
      <c r="G17" s="893" t="s">
        <v>392</v>
      </c>
      <c r="I17" s="632">
        <f>(D17+F17)*B17</f>
        <v>13605.073384411158</v>
      </c>
      <c r="J17" s="73" t="s">
        <v>2159</v>
      </c>
    </row>
    <row r="18" spans="1:21" x14ac:dyDescent="0.25">
      <c r="A18" s="460" t="s">
        <v>274</v>
      </c>
      <c r="B18" s="92">
        <f>'AcreageTracking-MAP'!G33</f>
        <v>7.6696761722532969</v>
      </c>
      <c r="C18" t="s">
        <v>366</v>
      </c>
      <c r="D18" s="632">
        <f t="shared" si="0"/>
        <v>1500</v>
      </c>
      <c r="E18" s="893" t="s">
        <v>392</v>
      </c>
      <c r="F18" s="894">
        <v>0</v>
      </c>
      <c r="G18" s="893" t="s">
        <v>392</v>
      </c>
      <c r="H18" s="632">
        <f t="shared" si="1"/>
        <v>11504.514258379946</v>
      </c>
      <c r="J18" s="73"/>
    </row>
    <row r="19" spans="1:21" x14ac:dyDescent="0.25">
      <c r="A19" s="460" t="s">
        <v>315</v>
      </c>
      <c r="B19" s="92">
        <f>'AcreageTracking-MAP'!G34</f>
        <v>7</v>
      </c>
      <c r="C19" t="s">
        <v>366</v>
      </c>
      <c r="D19" s="632">
        <f t="shared" si="0"/>
        <v>1500</v>
      </c>
      <c r="E19" s="893" t="s">
        <v>392</v>
      </c>
      <c r="F19" s="894">
        <v>0</v>
      </c>
      <c r="G19" s="893" t="s">
        <v>392</v>
      </c>
      <c r="H19" s="632">
        <f t="shared" si="1"/>
        <v>10500</v>
      </c>
      <c r="J19" s="73"/>
    </row>
    <row r="20" spans="1:21" x14ac:dyDescent="0.25">
      <c r="A20" s="460" t="s">
        <v>275</v>
      </c>
      <c r="B20" s="92">
        <f>'AcreageTracking-MAP'!G36</f>
        <v>14.637118770631046</v>
      </c>
      <c r="C20" t="s">
        <v>366</v>
      </c>
      <c r="D20" s="632">
        <f t="shared" si="0"/>
        <v>1500</v>
      </c>
      <c r="E20" s="893" t="s">
        <v>392</v>
      </c>
      <c r="F20" s="894">
        <v>0</v>
      </c>
      <c r="G20" s="893" t="s">
        <v>392</v>
      </c>
      <c r="H20" s="632">
        <f t="shared" si="1"/>
        <v>21955.678155946571</v>
      </c>
      <c r="J20" s="73"/>
    </row>
    <row r="21" spans="1:21" x14ac:dyDescent="0.25">
      <c r="A21" s="460" t="s">
        <v>276</v>
      </c>
      <c r="B21" s="92">
        <f>'AcreageTracking-MAP'!G35</f>
        <v>29.358257740279139</v>
      </c>
      <c r="C21" t="s">
        <v>366</v>
      </c>
      <c r="D21" s="632">
        <f t="shared" si="0"/>
        <v>1500</v>
      </c>
      <c r="E21" s="893" t="s">
        <v>392</v>
      </c>
      <c r="F21" s="894">
        <v>0</v>
      </c>
      <c r="G21" s="893" t="s">
        <v>392</v>
      </c>
      <c r="H21" s="632">
        <f t="shared" si="1"/>
        <v>44037.386610418711</v>
      </c>
      <c r="J21" s="73"/>
    </row>
    <row r="22" spans="1:21" x14ac:dyDescent="0.25">
      <c r="A22" s="460" t="s">
        <v>316</v>
      </c>
      <c r="B22" s="92">
        <f>'AcreageTracking-MAP'!G38</f>
        <v>91.821614397341293</v>
      </c>
      <c r="C22" t="s">
        <v>366</v>
      </c>
      <c r="D22" s="632">
        <f t="shared" si="0"/>
        <v>1500</v>
      </c>
      <c r="E22" s="893" t="s">
        <v>392</v>
      </c>
      <c r="F22" s="894">
        <v>0</v>
      </c>
      <c r="G22" s="893" t="s">
        <v>392</v>
      </c>
      <c r="H22" s="632">
        <f t="shared" si="1"/>
        <v>137732.42159601193</v>
      </c>
      <c r="J22" s="73"/>
    </row>
    <row r="23" spans="1:21" x14ac:dyDescent="0.25">
      <c r="A23" s="460" t="s">
        <v>277</v>
      </c>
      <c r="B23" s="73" t="s">
        <v>398</v>
      </c>
      <c r="C23" s="214"/>
      <c r="D23" s="114"/>
      <c r="E23" s="114"/>
      <c r="G23" s="100"/>
      <c r="H23" s="632">
        <v>0</v>
      </c>
      <c r="I23" s="11"/>
      <c r="J23" s="164" t="s">
        <v>399</v>
      </c>
      <c r="U23" s="38"/>
    </row>
    <row r="24" spans="1:21" x14ac:dyDescent="0.25">
      <c r="A24" s="460" t="s">
        <v>317</v>
      </c>
      <c r="B24" s="92">
        <f>'AcreageTracking-MAP'!G40</f>
        <v>50.701625046835495</v>
      </c>
      <c r="C24" t="s">
        <v>366</v>
      </c>
      <c r="D24" s="632">
        <f>$B$72+$B$55</f>
        <v>1500</v>
      </c>
      <c r="E24" s="893" t="s">
        <v>392</v>
      </c>
      <c r="F24" s="894">
        <v>0</v>
      </c>
      <c r="G24" s="893" t="s">
        <v>392</v>
      </c>
      <c r="H24" s="632">
        <f t="shared" si="1"/>
        <v>76052.437570253242</v>
      </c>
      <c r="J24" s="73" t="s">
        <v>1009</v>
      </c>
    </row>
    <row r="25" spans="1:21" x14ac:dyDescent="0.25">
      <c r="A25" s="460" t="s">
        <v>278</v>
      </c>
      <c r="B25" s="73" t="s">
        <v>398</v>
      </c>
      <c r="C25" s="214"/>
      <c r="D25" s="114"/>
      <c r="E25" s="114"/>
      <c r="G25" s="100"/>
      <c r="H25" s="632">
        <v>0</v>
      </c>
      <c r="I25" s="11"/>
      <c r="J25" s="164" t="s">
        <v>399</v>
      </c>
      <c r="U25" s="38"/>
    </row>
    <row r="26" spans="1:21" x14ac:dyDescent="0.25">
      <c r="A26" s="460" t="s">
        <v>279</v>
      </c>
      <c r="B26" s="92">
        <f>'AcreageTracking-MAP'!G43</f>
        <v>34.429741567848929</v>
      </c>
      <c r="C26" t="s">
        <v>366</v>
      </c>
      <c r="D26" s="632">
        <f t="shared" ref="D26:D47" si="3">$B$72+$B$55</f>
        <v>1500</v>
      </c>
      <c r="E26" s="893" t="s">
        <v>392</v>
      </c>
      <c r="F26" s="894">
        <v>0</v>
      </c>
      <c r="G26" s="893" t="s">
        <v>392</v>
      </c>
      <c r="H26" s="632">
        <f t="shared" si="1"/>
        <v>51644.612351773394</v>
      </c>
      <c r="J26" s="73"/>
    </row>
    <row r="27" spans="1:21" x14ac:dyDescent="0.25">
      <c r="A27" s="460" t="s">
        <v>1933</v>
      </c>
      <c r="B27" s="92">
        <f>'AcreageTracking-MAP'!G44</f>
        <v>11.945298801659563</v>
      </c>
      <c r="C27" t="s">
        <v>366</v>
      </c>
      <c r="D27" s="632">
        <f t="shared" si="3"/>
        <v>1500</v>
      </c>
      <c r="E27" s="893" t="s">
        <v>392</v>
      </c>
      <c r="F27" s="894">
        <v>0</v>
      </c>
      <c r="G27" s="893" t="s">
        <v>392</v>
      </c>
      <c r="H27" s="632">
        <f t="shared" ref="H27" si="4">(D27+F27)*B27</f>
        <v>17917.948202489344</v>
      </c>
      <c r="J27" s="73"/>
    </row>
    <row r="28" spans="1:21" x14ac:dyDescent="0.25">
      <c r="A28" s="460" t="s">
        <v>2059</v>
      </c>
      <c r="B28" s="92">
        <f>'AcreageTracking-MAP'!G45</f>
        <v>12.310011391775721</v>
      </c>
      <c r="C28" t="s">
        <v>366</v>
      </c>
      <c r="D28" s="632">
        <f t="shared" si="3"/>
        <v>1500</v>
      </c>
      <c r="E28" s="893" t="s">
        <v>392</v>
      </c>
      <c r="F28" s="894">
        <v>0</v>
      </c>
      <c r="G28" s="893" t="s">
        <v>392</v>
      </c>
      <c r="H28" s="632">
        <f>(D28+F28)*B28</f>
        <v>18465.017087663582</v>
      </c>
      <c r="J28" s="239" t="s">
        <v>2149</v>
      </c>
    </row>
    <row r="29" spans="1:21" x14ac:dyDescent="0.25">
      <c r="A29" s="460" t="s">
        <v>318</v>
      </c>
      <c r="B29" s="92">
        <f>'AcreageTracking-MAP'!G46</f>
        <v>19.931343574811624</v>
      </c>
      <c r="C29" t="s">
        <v>366</v>
      </c>
      <c r="D29" s="632">
        <f t="shared" si="3"/>
        <v>1500</v>
      </c>
      <c r="E29" s="893" t="s">
        <v>392</v>
      </c>
      <c r="F29" s="894">
        <v>0</v>
      </c>
      <c r="G29" s="893" t="s">
        <v>392</v>
      </c>
      <c r="H29" s="632">
        <f t="shared" si="1"/>
        <v>29897.015362217437</v>
      </c>
      <c r="J29" s="73" t="s">
        <v>1009</v>
      </c>
    </row>
    <row r="30" spans="1:21" x14ac:dyDescent="0.25">
      <c r="A30" s="460" t="s">
        <v>319</v>
      </c>
      <c r="B30" s="92"/>
      <c r="C30" t="s">
        <v>366</v>
      </c>
      <c r="D30" s="632">
        <f t="shared" si="3"/>
        <v>1500</v>
      </c>
      <c r="E30" s="893" t="s">
        <v>392</v>
      </c>
      <c r="F30" s="894">
        <v>0</v>
      </c>
      <c r="G30" s="893" t="s">
        <v>392</v>
      </c>
      <c r="H30" s="632">
        <f t="shared" si="1"/>
        <v>0</v>
      </c>
      <c r="J30" s="73" t="s">
        <v>2156</v>
      </c>
    </row>
    <row r="31" spans="1:21" x14ac:dyDescent="0.25">
      <c r="A31" s="460" t="s">
        <v>320</v>
      </c>
      <c r="B31" s="92"/>
      <c r="C31" t="s">
        <v>366</v>
      </c>
      <c r="D31" s="632">
        <f t="shared" si="3"/>
        <v>1500</v>
      </c>
      <c r="E31" s="893" t="s">
        <v>392</v>
      </c>
      <c r="F31" s="894">
        <v>0</v>
      </c>
      <c r="G31" s="893" t="s">
        <v>392</v>
      </c>
      <c r="H31" s="632">
        <f t="shared" si="1"/>
        <v>0</v>
      </c>
      <c r="J31" s="73" t="s">
        <v>2156</v>
      </c>
    </row>
    <row r="32" spans="1:21" x14ac:dyDescent="0.25">
      <c r="A32" s="460" t="s">
        <v>283</v>
      </c>
      <c r="B32" s="92">
        <f>'AcreageTracking-MAP'!G49</f>
        <v>63.746302234442659</v>
      </c>
      <c r="C32" t="s">
        <v>366</v>
      </c>
      <c r="D32" s="632">
        <f t="shared" si="3"/>
        <v>1500</v>
      </c>
      <c r="E32" s="893" t="s">
        <v>392</v>
      </c>
      <c r="F32" s="894">
        <v>0</v>
      </c>
      <c r="G32" s="893" t="s">
        <v>392</v>
      </c>
      <c r="H32" s="632">
        <f t="shared" si="1"/>
        <v>95619.453351663993</v>
      </c>
      <c r="J32" s="73" t="s">
        <v>1010</v>
      </c>
    </row>
    <row r="33" spans="1:19" x14ac:dyDescent="0.25">
      <c r="A33" s="460" t="s">
        <v>284</v>
      </c>
      <c r="B33" s="92">
        <f>'AcreageTracking-MAP'!G50</f>
        <v>26.590398438659477</v>
      </c>
      <c r="C33" t="s">
        <v>366</v>
      </c>
      <c r="D33" s="632">
        <f t="shared" si="3"/>
        <v>1500</v>
      </c>
      <c r="E33" s="893" t="s">
        <v>392</v>
      </c>
      <c r="F33" s="894">
        <v>0</v>
      </c>
      <c r="G33" s="893" t="s">
        <v>392</v>
      </c>
      <c r="H33" s="632">
        <f t="shared" si="1"/>
        <v>39885.597657989216</v>
      </c>
      <c r="J33" s="73"/>
    </row>
    <row r="34" spans="1:19" x14ac:dyDescent="0.25">
      <c r="A34" s="460" t="s">
        <v>322</v>
      </c>
      <c r="B34" s="92">
        <f>'AcreageTracking-MAP'!G51</f>
        <v>43.305343252679691</v>
      </c>
      <c r="C34" t="s">
        <v>366</v>
      </c>
      <c r="D34" s="632">
        <f t="shared" si="3"/>
        <v>1500</v>
      </c>
      <c r="E34" s="893" t="s">
        <v>392</v>
      </c>
      <c r="F34" s="894">
        <v>0</v>
      </c>
      <c r="G34" s="893" t="s">
        <v>392</v>
      </c>
      <c r="H34" s="632">
        <f t="shared" si="1"/>
        <v>64958.014879019538</v>
      </c>
      <c r="J34" s="73"/>
    </row>
    <row r="35" spans="1:19" x14ac:dyDescent="0.25">
      <c r="A35" s="460" t="s">
        <v>286</v>
      </c>
      <c r="B35" s="92">
        <f>'AcreageTracking-MAP'!G52</f>
        <v>18.120137530582941</v>
      </c>
      <c r="C35" t="s">
        <v>366</v>
      </c>
      <c r="D35" s="19">
        <f t="shared" si="3"/>
        <v>1500</v>
      </c>
      <c r="E35" s="32" t="s">
        <v>392</v>
      </c>
      <c r="F35" s="272">
        <v>0</v>
      </c>
      <c r="G35" s="32" t="s">
        <v>392</v>
      </c>
      <c r="H35" s="19">
        <f t="shared" si="1"/>
        <v>27180.20629587441</v>
      </c>
      <c r="J35" s="73"/>
    </row>
    <row r="36" spans="1:19" x14ac:dyDescent="0.25">
      <c r="A36" s="460" t="s">
        <v>323</v>
      </c>
      <c r="B36" s="92">
        <f>'AcreageTracking-MAP'!G53</f>
        <v>0.63688588302360349</v>
      </c>
      <c r="C36" t="s">
        <v>366</v>
      </c>
      <c r="D36" s="19">
        <f t="shared" si="3"/>
        <v>1500</v>
      </c>
      <c r="E36" s="32" t="s">
        <v>392</v>
      </c>
      <c r="F36" s="272">
        <v>0</v>
      </c>
      <c r="G36" s="32" t="s">
        <v>392</v>
      </c>
      <c r="H36" s="19">
        <f t="shared" si="1"/>
        <v>955.32882453540526</v>
      </c>
      <c r="J36" s="73" t="s">
        <v>1009</v>
      </c>
    </row>
    <row r="37" spans="1:19" x14ac:dyDescent="0.25">
      <c r="A37" s="460" t="s">
        <v>324</v>
      </c>
      <c r="B37" s="92">
        <f>'AcreageTracking-MAP'!G22</f>
        <v>7.5139108462934416</v>
      </c>
      <c r="C37" t="s">
        <v>366</v>
      </c>
      <c r="D37" s="19">
        <f t="shared" si="3"/>
        <v>1500</v>
      </c>
      <c r="E37" s="32" t="s">
        <v>392</v>
      </c>
      <c r="F37" s="272">
        <v>0</v>
      </c>
      <c r="G37" s="32" t="s">
        <v>392</v>
      </c>
      <c r="H37" s="19">
        <f t="shared" si="1"/>
        <v>11270.866269440163</v>
      </c>
      <c r="J37" s="73"/>
    </row>
    <row r="38" spans="1:19" x14ac:dyDescent="0.25">
      <c r="A38" s="460" t="s">
        <v>325</v>
      </c>
      <c r="B38" s="92">
        <f>'AcreageTracking-MAP'!G15</f>
        <v>210.48498806471477</v>
      </c>
      <c r="C38" t="s">
        <v>366</v>
      </c>
      <c r="D38" s="19">
        <f t="shared" si="3"/>
        <v>1500</v>
      </c>
      <c r="E38" s="32" t="s">
        <v>392</v>
      </c>
      <c r="F38" s="272">
        <v>0</v>
      </c>
      <c r="G38" s="32" t="s">
        <v>392</v>
      </c>
      <c r="H38" s="19">
        <f t="shared" si="1"/>
        <v>315727.48209707218</v>
      </c>
      <c r="J38" s="73"/>
    </row>
    <row r="39" spans="1:19" x14ac:dyDescent="0.25">
      <c r="A39" s="460" t="s">
        <v>326</v>
      </c>
      <c r="B39" s="92">
        <f>'AcreageTracking-MAP'!G9+'AcreageTracking-MAP'!G54</f>
        <v>42.469206036971649</v>
      </c>
      <c r="C39" t="s">
        <v>366</v>
      </c>
      <c r="D39" s="19">
        <f t="shared" si="3"/>
        <v>1500</v>
      </c>
      <c r="E39" s="32" t="s">
        <v>392</v>
      </c>
      <c r="F39" s="272">
        <v>0</v>
      </c>
      <c r="G39" s="32" t="s">
        <v>392</v>
      </c>
      <c r="H39" s="19">
        <f t="shared" si="1"/>
        <v>63703.809055457474</v>
      </c>
    </row>
    <row r="40" spans="1:19" x14ac:dyDescent="0.25">
      <c r="A40" s="460" t="s">
        <v>2008</v>
      </c>
      <c r="B40" s="92">
        <f>'AcreageTracking-MAP'!G28</f>
        <v>0.784358620664519</v>
      </c>
      <c r="C40" t="s">
        <v>366</v>
      </c>
      <c r="D40" s="19">
        <f t="shared" si="3"/>
        <v>1500</v>
      </c>
      <c r="E40" s="32" t="s">
        <v>392</v>
      </c>
      <c r="F40" s="272">
        <v>0</v>
      </c>
      <c r="G40" s="32" t="s">
        <v>392</v>
      </c>
      <c r="H40" s="19">
        <f t="shared" ref="H40:H41" si="5">(D40+F40)*B40</f>
        <v>1176.5379309967784</v>
      </c>
      <c r="S40" s="3"/>
    </row>
    <row r="41" spans="1:19" x14ac:dyDescent="0.25">
      <c r="A41" s="692" t="s">
        <v>1999</v>
      </c>
      <c r="B41" s="92">
        <f>'AcreageTracking-MAP'!G29</f>
        <v>0.33219096069806042</v>
      </c>
      <c r="C41" t="s">
        <v>366</v>
      </c>
      <c r="D41" s="19">
        <f t="shared" si="3"/>
        <v>1500</v>
      </c>
      <c r="E41" s="32" t="s">
        <v>392</v>
      </c>
      <c r="F41" s="272">
        <v>0</v>
      </c>
      <c r="G41" s="32" t="s">
        <v>392</v>
      </c>
      <c r="H41" s="19">
        <f t="shared" si="5"/>
        <v>498.28644104709065</v>
      </c>
      <c r="S41" s="3"/>
    </row>
    <row r="42" spans="1:19" x14ac:dyDescent="0.25">
      <c r="A42" s="460" t="s">
        <v>327</v>
      </c>
      <c r="B42" s="92">
        <f>'AcreageTracking-MAP'!G24</f>
        <v>175.01652936479195</v>
      </c>
      <c r="C42" t="s">
        <v>366</v>
      </c>
      <c r="D42" s="19">
        <f t="shared" si="3"/>
        <v>1500</v>
      </c>
      <c r="E42" s="32" t="s">
        <v>392</v>
      </c>
      <c r="F42" s="272">
        <v>0</v>
      </c>
      <c r="G42" s="32" t="s">
        <v>392</v>
      </c>
      <c r="H42" s="19">
        <f t="shared" si="1"/>
        <v>262524.7940471879</v>
      </c>
    </row>
    <row r="43" spans="1:19" x14ac:dyDescent="0.25">
      <c r="A43" s="460" t="s">
        <v>328</v>
      </c>
      <c r="B43" s="92">
        <f>'AcreageTracking-MAP'!G26</f>
        <v>3.1734790459653834</v>
      </c>
      <c r="C43" t="s">
        <v>366</v>
      </c>
      <c r="D43" s="19">
        <f t="shared" si="3"/>
        <v>1500</v>
      </c>
      <c r="E43" s="32" t="s">
        <v>392</v>
      </c>
      <c r="F43" s="272">
        <v>0</v>
      </c>
      <c r="G43" s="32" t="s">
        <v>392</v>
      </c>
      <c r="H43" s="19">
        <f t="shared" si="1"/>
        <v>4760.2185689480748</v>
      </c>
      <c r="J43" s="73" t="s">
        <v>1009</v>
      </c>
    </row>
    <row r="44" spans="1:19" x14ac:dyDescent="0.25">
      <c r="A44" s="460" t="s">
        <v>611</v>
      </c>
      <c r="B44" s="92">
        <f>'AcreageTracking-MAP'!G17</f>
        <v>58.646649350903132</v>
      </c>
      <c r="C44" t="s">
        <v>366</v>
      </c>
      <c r="D44" s="19">
        <f t="shared" si="3"/>
        <v>1500</v>
      </c>
      <c r="E44" s="32" t="s">
        <v>392</v>
      </c>
      <c r="F44" s="272">
        <v>0</v>
      </c>
      <c r="G44" s="32" t="s">
        <v>392</v>
      </c>
      <c r="H44" s="19">
        <f t="shared" si="1"/>
        <v>87969.974026354699</v>
      </c>
      <c r="J44" t="s">
        <v>2037</v>
      </c>
    </row>
    <row r="45" spans="1:19" x14ac:dyDescent="0.25">
      <c r="A45" s="460" t="s">
        <v>1011</v>
      </c>
      <c r="B45" s="92">
        <f>'AcreageTracking-MAP'!G101</f>
        <v>31.490320300314202</v>
      </c>
      <c r="C45" t="s">
        <v>366</v>
      </c>
      <c r="D45" s="19">
        <f t="shared" si="3"/>
        <v>1500</v>
      </c>
      <c r="E45" s="32" t="s">
        <v>392</v>
      </c>
      <c r="F45" s="272">
        <v>0</v>
      </c>
      <c r="G45" s="32" t="s">
        <v>392</v>
      </c>
      <c r="H45" s="19">
        <f t="shared" si="1"/>
        <v>47235.480450471303</v>
      </c>
      <c r="J45" s="73" t="s">
        <v>1012</v>
      </c>
    </row>
    <row r="46" spans="1:19" x14ac:dyDescent="0.25">
      <c r="A46" s="460" t="s">
        <v>2166</v>
      </c>
      <c r="B46" s="92">
        <f>'AcreageTracking-MAP'!G90</f>
        <v>0.96865967160497102</v>
      </c>
      <c r="C46" t="s">
        <v>366</v>
      </c>
      <c r="D46" s="19">
        <f t="shared" si="3"/>
        <v>1500</v>
      </c>
      <c r="E46" s="32" t="s">
        <v>392</v>
      </c>
      <c r="F46" s="272">
        <v>0</v>
      </c>
      <c r="G46" s="32" t="s">
        <v>392</v>
      </c>
      <c r="H46" s="19">
        <f>(D46+F46)*B46</f>
        <v>1452.9895074074566</v>
      </c>
      <c r="J46" s="73" t="s">
        <v>1009</v>
      </c>
    </row>
    <row r="47" spans="1:19" x14ac:dyDescent="0.25">
      <c r="A47" s="460" t="s">
        <v>271</v>
      </c>
      <c r="B47" s="92">
        <f>'AcreageTracking-MAP'!G23</f>
        <v>2.721867762395811</v>
      </c>
      <c r="C47" t="s">
        <v>366</v>
      </c>
      <c r="D47" s="19">
        <f t="shared" si="3"/>
        <v>1500</v>
      </c>
      <c r="E47" s="32" t="s">
        <v>392</v>
      </c>
      <c r="F47" s="272">
        <v>0</v>
      </c>
      <c r="G47" s="32" t="s">
        <v>392</v>
      </c>
      <c r="H47" s="19">
        <f t="shared" si="1"/>
        <v>4082.8016435937166</v>
      </c>
      <c r="J47" s="73" t="s">
        <v>1895</v>
      </c>
    </row>
    <row r="48" spans="1:19" x14ac:dyDescent="0.25">
      <c r="A48" s="460"/>
      <c r="B48" s="273"/>
      <c r="D48" s="19"/>
      <c r="E48" s="32"/>
      <c r="F48" s="272"/>
      <c r="G48" s="32"/>
      <c r="H48" s="19"/>
    </row>
    <row r="49" spans="1:10" x14ac:dyDescent="0.25">
      <c r="A49" s="374" t="s">
        <v>943</v>
      </c>
      <c r="B49" s="374">
        <f>SUM(B11:B47)</f>
        <v>1979.5786105114362</v>
      </c>
      <c r="C49" s="50" t="s">
        <v>366</v>
      </c>
      <c r="D49" s="50"/>
      <c r="E49" s="50"/>
      <c r="F49" s="50"/>
      <c r="G49" s="50"/>
      <c r="H49" s="65">
        <f>SUM(H11:H48)</f>
        <v>2888366.6191326282</v>
      </c>
    </row>
    <row r="50" spans="1:10" x14ac:dyDescent="0.25">
      <c r="A50" s="73"/>
      <c r="B50" s="73" t="s">
        <v>1013</v>
      </c>
      <c r="C50" s="73"/>
      <c r="D50" s="73"/>
      <c r="E50" s="73"/>
      <c r="F50" s="73"/>
      <c r="G50" s="73"/>
      <c r="H50" s="73"/>
      <c r="J50" s="73"/>
    </row>
    <row r="51" spans="1:10" x14ac:dyDescent="0.25">
      <c r="A51" s="460"/>
      <c r="H51" s="20"/>
    </row>
    <row r="52" spans="1:10" x14ac:dyDescent="0.25">
      <c r="A52" s="968" t="s">
        <v>1014</v>
      </c>
      <c r="B52" s="969"/>
      <c r="C52" s="969"/>
      <c r="D52" s="969"/>
      <c r="E52" s="969"/>
      <c r="F52" s="969"/>
      <c r="G52" s="969"/>
      <c r="H52" s="970"/>
    </row>
    <row r="53" spans="1:10" x14ac:dyDescent="0.25">
      <c r="A53" s="151" t="s">
        <v>1015</v>
      </c>
      <c r="B53" s="470"/>
      <c r="C53" s="470"/>
      <c r="D53" s="966"/>
      <c r="E53" s="966"/>
      <c r="F53" s="966"/>
      <c r="G53" s="966"/>
      <c r="H53" s="967"/>
    </row>
    <row r="54" spans="1:10" x14ac:dyDescent="0.25">
      <c r="A54" s="151" t="s">
        <v>1016</v>
      </c>
      <c r="B54" s="470"/>
      <c r="C54" s="470"/>
      <c r="D54" s="966"/>
      <c r="E54" s="966"/>
      <c r="F54" s="966"/>
      <c r="G54" s="966"/>
      <c r="H54" s="967"/>
      <c r="I54" s="167"/>
      <c r="J54" s="167"/>
    </row>
    <row r="55" spans="1:10" x14ac:dyDescent="0.25">
      <c r="A55" s="152" t="s">
        <v>1017</v>
      </c>
      <c r="B55" s="154">
        <v>1000</v>
      </c>
      <c r="C55" s="153" t="s">
        <v>1018</v>
      </c>
      <c r="D55" s="966" t="s">
        <v>1019</v>
      </c>
      <c r="E55" s="966"/>
      <c r="F55" s="966"/>
      <c r="G55" s="966"/>
      <c r="H55" s="967"/>
    </row>
    <row r="56" spans="1:10" x14ac:dyDescent="0.25">
      <c r="A56" s="151" t="s">
        <v>1015</v>
      </c>
      <c r="B56" s="470"/>
      <c r="C56" s="470"/>
      <c r="D56" s="966"/>
      <c r="E56" s="966"/>
      <c r="F56" s="966"/>
      <c r="G56" s="966"/>
      <c r="H56" s="967"/>
    </row>
    <row r="57" spans="1:10" x14ac:dyDescent="0.25">
      <c r="A57" s="151" t="s">
        <v>1020</v>
      </c>
      <c r="B57" s="470"/>
      <c r="C57" s="470"/>
      <c r="D57" s="966"/>
      <c r="E57" s="966"/>
      <c r="F57" s="966"/>
      <c r="G57" s="966"/>
      <c r="H57" s="967"/>
    </row>
    <row r="58" spans="1:10" x14ac:dyDescent="0.25">
      <c r="A58" s="151" t="s">
        <v>1021</v>
      </c>
      <c r="B58" s="300">
        <v>166.37</v>
      </c>
      <c r="C58" s="470" t="s">
        <v>1018</v>
      </c>
      <c r="D58" s="966" t="s">
        <v>1022</v>
      </c>
      <c r="E58" s="966"/>
      <c r="F58" s="966"/>
      <c r="G58" s="966"/>
      <c r="H58" s="967"/>
    </row>
    <row r="59" spans="1:10" x14ac:dyDescent="0.25">
      <c r="A59" s="151" t="s">
        <v>1023</v>
      </c>
      <c r="B59" s="300">
        <v>250</v>
      </c>
      <c r="C59" s="470" t="s">
        <v>1018</v>
      </c>
      <c r="D59" s="966" t="s">
        <v>1024</v>
      </c>
      <c r="E59" s="966"/>
      <c r="F59" s="966"/>
      <c r="G59" s="966"/>
      <c r="H59" s="967"/>
    </row>
    <row r="60" spans="1:10" x14ac:dyDescent="0.25">
      <c r="A60" s="151" t="s">
        <v>1025</v>
      </c>
      <c r="B60" s="301"/>
      <c r="C60" s="470"/>
      <c r="D60" s="966"/>
      <c r="E60" s="966"/>
      <c r="F60" s="966"/>
      <c r="G60" s="966"/>
      <c r="H60" s="967"/>
    </row>
    <row r="61" spans="1:10" x14ac:dyDescent="0.25">
      <c r="A61" s="151" t="s">
        <v>1026</v>
      </c>
      <c r="B61" s="155">
        <v>490</v>
      </c>
      <c r="C61" s="470" t="s">
        <v>1018</v>
      </c>
      <c r="D61" s="966" t="s">
        <v>1027</v>
      </c>
      <c r="E61" s="966"/>
      <c r="F61" s="966"/>
      <c r="G61" s="966"/>
      <c r="H61" s="967"/>
    </row>
    <row r="62" spans="1:10" x14ac:dyDescent="0.25">
      <c r="A62" s="151" t="s">
        <v>1028</v>
      </c>
      <c r="B62" s="155">
        <v>1400</v>
      </c>
      <c r="C62" s="470" t="s">
        <v>1018</v>
      </c>
      <c r="D62" s="966" t="s">
        <v>1027</v>
      </c>
      <c r="E62" s="966"/>
      <c r="F62" s="966"/>
      <c r="G62" s="966"/>
      <c r="H62" s="967"/>
    </row>
    <row r="63" spans="1:10" s="2" customFormat="1" x14ac:dyDescent="0.25">
      <c r="A63" s="151" t="s">
        <v>1029</v>
      </c>
      <c r="B63" s="155">
        <v>515</v>
      </c>
      <c r="C63" s="470" t="s">
        <v>1018</v>
      </c>
      <c r="D63" s="966" t="s">
        <v>1027</v>
      </c>
      <c r="E63" s="966"/>
      <c r="F63" s="966"/>
      <c r="G63" s="966"/>
      <c r="H63" s="967"/>
    </row>
    <row r="64" spans="1:10" x14ac:dyDescent="0.25">
      <c r="A64" s="151" t="s">
        <v>1030</v>
      </c>
      <c r="B64" s="155">
        <v>180</v>
      </c>
      <c r="C64" s="470" t="s">
        <v>1018</v>
      </c>
      <c r="D64" s="966" t="s">
        <v>1027</v>
      </c>
      <c r="E64" s="966"/>
      <c r="F64" s="966"/>
      <c r="G64" s="966"/>
      <c r="H64" s="967"/>
    </row>
    <row r="65" spans="1:8" x14ac:dyDescent="0.25">
      <c r="A65" s="151" t="s">
        <v>1031</v>
      </c>
      <c r="B65" s="155">
        <v>191.25</v>
      </c>
      <c r="C65" s="470" t="s">
        <v>1018</v>
      </c>
      <c r="D65" s="966" t="s">
        <v>1032</v>
      </c>
      <c r="E65" s="966"/>
      <c r="F65" s="966"/>
      <c r="G65" s="966"/>
      <c r="H65" s="967"/>
    </row>
    <row r="66" spans="1:8" x14ac:dyDescent="0.25">
      <c r="A66" s="151" t="s">
        <v>1033</v>
      </c>
      <c r="B66" s="470"/>
      <c r="C66" s="470"/>
      <c r="D66" s="966"/>
      <c r="E66" s="966"/>
      <c r="F66" s="966"/>
      <c r="G66" s="966"/>
      <c r="H66" s="967"/>
    </row>
    <row r="67" spans="1:8" x14ac:dyDescent="0.25">
      <c r="A67" s="151" t="s">
        <v>1034</v>
      </c>
      <c r="B67" s="155">
        <v>4.33</v>
      </c>
      <c r="C67" s="470" t="s">
        <v>1035</v>
      </c>
      <c r="D67" s="966" t="s">
        <v>1027</v>
      </c>
      <c r="E67" s="966"/>
      <c r="F67" s="966"/>
      <c r="G67" s="966"/>
      <c r="H67" s="967"/>
    </row>
    <row r="68" spans="1:8" x14ac:dyDescent="0.25">
      <c r="A68" s="151" t="s">
        <v>1036</v>
      </c>
      <c r="B68" s="155">
        <v>2.87</v>
      </c>
      <c r="C68" s="470" t="s">
        <v>1037</v>
      </c>
      <c r="D68" s="966" t="s">
        <v>1038</v>
      </c>
      <c r="E68" s="966"/>
      <c r="F68" s="966"/>
      <c r="G68" s="966"/>
      <c r="H68" s="967"/>
    </row>
    <row r="69" spans="1:8" x14ac:dyDescent="0.25">
      <c r="A69" s="151" t="s">
        <v>1039</v>
      </c>
      <c r="B69" s="155">
        <v>3.51</v>
      </c>
      <c r="C69" s="470" t="s">
        <v>1037</v>
      </c>
      <c r="D69" s="966" t="s">
        <v>1040</v>
      </c>
      <c r="E69" s="966"/>
      <c r="F69" s="966"/>
      <c r="G69" s="966"/>
      <c r="H69" s="967"/>
    </row>
    <row r="70" spans="1:8" x14ac:dyDescent="0.25">
      <c r="A70" s="151" t="s">
        <v>1015</v>
      </c>
      <c r="B70" s="470"/>
      <c r="C70" s="470"/>
      <c r="D70" s="966"/>
      <c r="E70" s="966"/>
      <c r="F70" s="966"/>
      <c r="G70" s="966"/>
      <c r="H70" s="967"/>
    </row>
    <row r="71" spans="1:8" x14ac:dyDescent="0.25">
      <c r="A71" s="156" t="s">
        <v>354</v>
      </c>
      <c r="B71" s="470"/>
      <c r="C71" s="470"/>
      <c r="D71" s="966"/>
      <c r="E71" s="966"/>
      <c r="F71" s="966"/>
      <c r="G71" s="966"/>
      <c r="H71" s="967"/>
    </row>
    <row r="72" spans="1:8" x14ac:dyDescent="0.25">
      <c r="A72" s="152" t="s">
        <v>1041</v>
      </c>
      <c r="B72" s="154">
        <v>500</v>
      </c>
      <c r="C72" s="153" t="s">
        <v>1018</v>
      </c>
      <c r="D72" s="966" t="s">
        <v>1042</v>
      </c>
      <c r="E72" s="966"/>
      <c r="F72" s="966"/>
      <c r="G72" s="966"/>
      <c r="H72" s="967"/>
    </row>
    <row r="73" spans="1:8" x14ac:dyDescent="0.25">
      <c r="A73" s="161" t="s">
        <v>1015</v>
      </c>
      <c r="B73" s="157" t="s">
        <v>1015</v>
      </c>
      <c r="C73" s="157" t="s">
        <v>1015</v>
      </c>
      <c r="D73" s="966"/>
      <c r="E73" s="966"/>
      <c r="F73" s="966"/>
      <c r="G73" s="966"/>
      <c r="H73" s="967"/>
    </row>
    <row r="74" spans="1:8" x14ac:dyDescent="0.25">
      <c r="A74" s="158" t="s">
        <v>809</v>
      </c>
      <c r="B74" s="160">
        <v>1500</v>
      </c>
      <c r="C74" s="159" t="s">
        <v>1018</v>
      </c>
      <c r="D74" s="971" t="s">
        <v>1015</v>
      </c>
      <c r="E74" s="971"/>
      <c r="F74" s="971"/>
      <c r="G74" s="971"/>
      <c r="H74" s="972"/>
    </row>
    <row r="90" spans="1:1" x14ac:dyDescent="0.25">
      <c r="A90" s="216"/>
    </row>
  </sheetData>
  <mergeCells count="31">
    <mergeCell ref="D68:H68"/>
    <mergeCell ref="D74:H74"/>
    <mergeCell ref="D69:H69"/>
    <mergeCell ref="D70:H70"/>
    <mergeCell ref="D71:H71"/>
    <mergeCell ref="D72:H72"/>
    <mergeCell ref="D73:H73"/>
    <mergeCell ref="D63:H63"/>
    <mergeCell ref="D64:H64"/>
    <mergeCell ref="D65:H65"/>
    <mergeCell ref="D66:H66"/>
    <mergeCell ref="D67:H67"/>
    <mergeCell ref="A52:H52"/>
    <mergeCell ref="D53:H53"/>
    <mergeCell ref="D54:H54"/>
    <mergeCell ref="D55:H55"/>
    <mergeCell ref="D56:H56"/>
    <mergeCell ref="D59:H59"/>
    <mergeCell ref="D60:H60"/>
    <mergeCell ref="D61:H61"/>
    <mergeCell ref="D62:H62"/>
    <mergeCell ref="D57:H57"/>
    <mergeCell ref="D58:H58"/>
    <mergeCell ref="A4:F4"/>
    <mergeCell ref="D8:E8"/>
    <mergeCell ref="B8:C8"/>
    <mergeCell ref="F8:G8"/>
    <mergeCell ref="A1:F1"/>
    <mergeCell ref="A2:F2"/>
    <mergeCell ref="A3:F3"/>
    <mergeCell ref="A6:H6"/>
  </mergeCells>
  <printOptions gridLines="1"/>
  <pageMargins left="0.25" right="0.25" top="0.75" bottom="0.75" header="0.3" footer="0.3"/>
  <pageSetup scale="59"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67281-DE55-4A43-9B17-31E678E1A29B}">
  <sheetPr codeName="Sheet20">
    <tabColor rgb="FFFFFF00"/>
    <pageSetUpPr fitToPage="1"/>
  </sheetPr>
  <dimension ref="A1:Q765"/>
  <sheetViews>
    <sheetView zoomScale="85" zoomScaleNormal="85" workbookViewId="0">
      <selection activeCell="H584" sqref="H584"/>
    </sheetView>
  </sheetViews>
  <sheetFormatPr defaultRowHeight="15" x14ac:dyDescent="0.25"/>
  <cols>
    <col min="1" max="1" width="58.7109375" bestFit="1" customWidth="1"/>
    <col min="2" max="2" width="23.42578125" customWidth="1"/>
    <col min="3" max="3" width="18" customWidth="1"/>
    <col min="4" max="4" width="17" customWidth="1"/>
    <col min="5" max="5" width="16.28515625" customWidth="1"/>
    <col min="6" max="6" width="19.5703125" bestFit="1" customWidth="1"/>
    <col min="7" max="7" width="17.5703125" style="21" customWidth="1"/>
    <col min="8" max="8" width="44.42578125" bestFit="1" customWidth="1"/>
    <col min="9" max="9" width="17.28515625" bestFit="1" customWidth="1"/>
    <col min="10" max="10" width="35.28515625" bestFit="1" customWidth="1"/>
    <col min="11" max="11" width="21.140625" customWidth="1"/>
    <col min="12" max="12" width="17.5703125" bestFit="1" customWidth="1"/>
    <col min="13" max="14" width="27.140625" customWidth="1"/>
    <col min="15" max="15" width="31.140625" bestFit="1" customWidth="1"/>
    <col min="16" max="16" width="27.7109375" bestFit="1" customWidth="1"/>
  </cols>
  <sheetData>
    <row r="1" spans="1:12" s="44" customFormat="1" ht="15.75" x14ac:dyDescent="0.25">
      <c r="A1" s="926" t="str">
        <f>Description!A1</f>
        <v>Montana Resources, LLC</v>
      </c>
      <c r="B1" s="926"/>
      <c r="C1" s="926"/>
      <c r="D1" s="926"/>
      <c r="E1" s="926"/>
      <c r="F1" s="926"/>
      <c r="G1" s="821"/>
    </row>
    <row r="2" spans="1:12" ht="15.75" x14ac:dyDescent="0.25">
      <c r="A2" s="926" t="str">
        <f>Description!A2</f>
        <v>Operating Permit #00030</v>
      </c>
      <c r="B2" s="926"/>
      <c r="C2" s="926"/>
      <c r="D2" s="926"/>
      <c r="E2" s="926"/>
      <c r="F2" s="926"/>
      <c r="G2" s="821"/>
      <c r="H2" s="44"/>
      <c r="L2" s="458"/>
    </row>
    <row r="3" spans="1:12" ht="15.75" x14ac:dyDescent="0.25">
      <c r="A3" s="926" t="str">
        <f>Description!A3</f>
        <v>Final Comprehensive 5-Year Bond Review</v>
      </c>
      <c r="B3" s="926"/>
      <c r="C3" s="926"/>
      <c r="D3" s="926"/>
      <c r="E3" s="926"/>
      <c r="F3" s="926"/>
      <c r="G3" s="821"/>
      <c r="H3" s="44"/>
      <c r="L3" s="458"/>
    </row>
    <row r="4" spans="1:12" ht="15.6" customHeight="1" x14ac:dyDescent="0.25">
      <c r="A4" s="925">
        <f>Description!A4</f>
        <v>46146</v>
      </c>
      <c r="B4" s="925"/>
      <c r="C4" s="925"/>
      <c r="D4" s="925"/>
      <c r="E4" s="925"/>
      <c r="F4" s="925"/>
      <c r="G4" s="821"/>
      <c r="H4" s="44"/>
      <c r="L4" s="458"/>
    </row>
    <row r="5" spans="1:12" ht="15.75" x14ac:dyDescent="0.25">
      <c r="A5" s="44"/>
      <c r="B5" s="44"/>
      <c r="C5" s="44"/>
      <c r="D5" s="44"/>
      <c r="E5" s="44"/>
      <c r="F5" s="44"/>
      <c r="G5" s="821"/>
      <c r="H5" s="44"/>
      <c r="L5" s="458"/>
    </row>
    <row r="6" spans="1:12" ht="15.75" x14ac:dyDescent="0.25">
      <c r="A6" s="914" t="s">
        <v>245</v>
      </c>
      <c r="B6" s="914"/>
      <c r="C6" s="914"/>
      <c r="D6" s="914"/>
      <c r="E6" s="914"/>
      <c r="F6" s="914"/>
      <c r="G6" s="914"/>
      <c r="H6" s="914"/>
      <c r="I6" s="3"/>
      <c r="J6" s="3"/>
      <c r="K6" s="3"/>
      <c r="L6" s="3"/>
    </row>
    <row r="7" spans="1:12" x14ac:dyDescent="0.25">
      <c r="A7" s="3"/>
      <c r="B7" s="14"/>
      <c r="C7" s="14"/>
      <c r="D7" s="14"/>
      <c r="E7" s="14"/>
      <c r="F7" s="14"/>
      <c r="G7" s="822"/>
      <c r="H7" s="14"/>
      <c r="I7" s="3"/>
      <c r="J7" s="3"/>
    </row>
    <row r="8" spans="1:12" x14ac:dyDescent="0.25">
      <c r="A8" s="464" t="s">
        <v>56</v>
      </c>
      <c r="B8" s="464" t="s">
        <v>598</v>
      </c>
      <c r="C8" s="464"/>
      <c r="D8" s="464" t="s">
        <v>1052</v>
      </c>
      <c r="E8" s="464"/>
      <c r="F8" s="464" t="s">
        <v>239</v>
      </c>
      <c r="G8" s="823"/>
      <c r="H8" s="104" t="s">
        <v>240</v>
      </c>
    </row>
    <row r="9" spans="1:12" x14ac:dyDescent="0.25">
      <c r="K9" s="3"/>
      <c r="L9" s="3"/>
    </row>
    <row r="10" spans="1:12" s="2" customFormat="1" x14ac:dyDescent="0.25">
      <c r="A10" s="50" t="s">
        <v>1053</v>
      </c>
      <c r="B10" s="49"/>
      <c r="C10" s="49"/>
      <c r="D10" s="49"/>
      <c r="E10" s="49"/>
      <c r="F10" s="49"/>
      <c r="G10" s="21"/>
      <c r="H10"/>
      <c r="I10"/>
      <c r="J10"/>
      <c r="K10" s="3"/>
    </row>
    <row r="11" spans="1:12" x14ac:dyDescent="0.25">
      <c r="B11" s="93"/>
      <c r="D11" s="4"/>
      <c r="E11" s="35"/>
      <c r="F11" s="33"/>
      <c r="G11" s="824"/>
      <c r="H11" s="73"/>
    </row>
    <row r="12" spans="1:12" x14ac:dyDescent="0.25">
      <c r="A12" s="456" t="s">
        <v>1054</v>
      </c>
      <c r="B12" s="30"/>
      <c r="C12" s="30"/>
      <c r="D12" s="101"/>
      <c r="E12" s="41"/>
      <c r="F12" s="42"/>
      <c r="G12" s="824"/>
      <c r="H12" s="73"/>
    </row>
    <row r="13" spans="1:12" x14ac:dyDescent="0.25">
      <c r="A13" s="895" t="s">
        <v>1055</v>
      </c>
      <c r="B13" s="240" t="s">
        <v>1056</v>
      </c>
      <c r="D13" s="4"/>
      <c r="E13" s="35"/>
      <c r="F13" s="33"/>
      <c r="G13" s="15" t="s">
        <v>2044</v>
      </c>
      <c r="H13" s="73" t="s">
        <v>1896</v>
      </c>
    </row>
    <row r="14" spans="1:12" x14ac:dyDescent="0.25">
      <c r="A14" s="896" t="s">
        <v>1057</v>
      </c>
      <c r="B14" s="93">
        <f>E169</f>
        <v>5693</v>
      </c>
      <c r="C14" t="s">
        <v>581</v>
      </c>
      <c r="D14" s="166">
        <f>B99</f>
        <v>13.43</v>
      </c>
      <c r="E14" s="35" t="s">
        <v>1037</v>
      </c>
      <c r="F14" s="33">
        <f>D14*B14</f>
        <v>76456.990000000005</v>
      </c>
      <c r="G14" s="897">
        <v>76456.990000000005</v>
      </c>
      <c r="H14" s="38"/>
    </row>
    <row r="15" spans="1:12" x14ac:dyDescent="0.25">
      <c r="A15" s="455"/>
    </row>
    <row r="16" spans="1:12" x14ac:dyDescent="0.25">
      <c r="A16" s="895" t="s">
        <v>1058</v>
      </c>
      <c r="B16" s="240" t="s">
        <v>1056</v>
      </c>
      <c r="D16" s="166"/>
      <c r="E16" s="35"/>
      <c r="F16" s="33"/>
      <c r="G16" s="897"/>
      <c r="H16" s="73"/>
    </row>
    <row r="17" spans="1:9" x14ac:dyDescent="0.25">
      <c r="A17" s="492" t="s">
        <v>2039</v>
      </c>
      <c r="B17" s="93">
        <v>10000</v>
      </c>
      <c r="C17" t="s">
        <v>581</v>
      </c>
      <c r="D17" s="166">
        <f>B100</f>
        <v>20.079999999999998</v>
      </c>
      <c r="E17" s="35" t="s">
        <v>1037</v>
      </c>
      <c r="F17" s="33">
        <f>D17*B17</f>
        <v>200799.99999999997</v>
      </c>
      <c r="G17" s="897">
        <v>200799.99999999997</v>
      </c>
      <c r="H17" t="s">
        <v>1977</v>
      </c>
    </row>
    <row r="18" spans="1:9" x14ac:dyDescent="0.25">
      <c r="A18" s="492" t="s">
        <v>1059</v>
      </c>
      <c r="B18" s="93">
        <v>4</v>
      </c>
      <c r="D18" s="166">
        <f>B101</f>
        <v>460.65</v>
      </c>
      <c r="E18" s="35" t="s">
        <v>1060</v>
      </c>
      <c r="F18" s="33">
        <f>D18*B18</f>
        <v>1842.6</v>
      </c>
      <c r="G18" s="897">
        <v>1842.6</v>
      </c>
      <c r="H18" s="73" t="s">
        <v>1061</v>
      </c>
      <c r="I18" t="s">
        <v>1977</v>
      </c>
    </row>
    <row r="19" spans="1:9" x14ac:dyDescent="0.25">
      <c r="A19" s="898" t="s">
        <v>2197</v>
      </c>
      <c r="B19" s="899"/>
      <c r="C19" s="899"/>
      <c r="D19" s="899"/>
      <c r="E19" s="899"/>
      <c r="F19" s="33">
        <v>0</v>
      </c>
      <c r="G19" s="897">
        <v>127600</v>
      </c>
      <c r="H19" s="73" t="s">
        <v>2104</v>
      </c>
    </row>
    <row r="20" spans="1:9" x14ac:dyDescent="0.25">
      <c r="A20" s="455"/>
      <c r="B20" s="240" t="s">
        <v>1056</v>
      </c>
      <c r="D20" s="166"/>
      <c r="E20" s="35"/>
      <c r="F20" s="372"/>
      <c r="G20" s="897"/>
      <c r="H20" s="102"/>
    </row>
    <row r="21" spans="1:9" x14ac:dyDescent="0.25">
      <c r="A21" s="895" t="s">
        <v>1062</v>
      </c>
      <c r="B21" s="93">
        <v>5000</v>
      </c>
      <c r="C21" t="s">
        <v>581</v>
      </c>
      <c r="D21" s="166">
        <f>B100</f>
        <v>20.079999999999998</v>
      </c>
      <c r="E21" s="35" t="s">
        <v>1037</v>
      </c>
      <c r="F21" s="33">
        <f>D21*B21</f>
        <v>100399.99999999999</v>
      </c>
      <c r="G21" s="897">
        <v>100399.99999999999</v>
      </c>
      <c r="H21" t="s">
        <v>1977</v>
      </c>
    </row>
    <row r="22" spans="1:9" x14ac:dyDescent="0.25">
      <c r="A22" s="240"/>
      <c r="B22" s="93"/>
      <c r="D22" s="4"/>
      <c r="E22" s="35"/>
      <c r="F22" s="33"/>
      <c r="G22" s="824"/>
      <c r="H22" s="73"/>
    </row>
    <row r="23" spans="1:9" x14ac:dyDescent="0.25">
      <c r="A23" s="456" t="s">
        <v>1063</v>
      </c>
      <c r="B23" s="30"/>
      <c r="C23" s="30"/>
      <c r="D23" s="37"/>
      <c r="E23" s="41"/>
      <c r="F23" s="37"/>
      <c r="G23" s="825"/>
    </row>
    <row r="24" spans="1:9" x14ac:dyDescent="0.25">
      <c r="A24" s="460" t="s">
        <v>1064</v>
      </c>
      <c r="B24" s="402" t="s">
        <v>1065</v>
      </c>
      <c r="D24" s="4"/>
      <c r="E24" s="35"/>
      <c r="F24" s="33">
        <f>F295</f>
        <v>3448167.3518212005</v>
      </c>
      <c r="G24" s="825"/>
      <c r="H24" s="73" t="s">
        <v>1893</v>
      </c>
    </row>
    <row r="25" spans="1:9" x14ac:dyDescent="0.25">
      <c r="A25" s="460" t="s">
        <v>1066</v>
      </c>
      <c r="B25" s="74"/>
      <c r="D25" s="4"/>
      <c r="E25" s="35"/>
      <c r="F25" s="33"/>
      <c r="G25" s="825"/>
    </row>
    <row r="26" spans="1:9" x14ac:dyDescent="0.25">
      <c r="A26" s="460"/>
      <c r="B26" s="93"/>
      <c r="D26" s="4"/>
      <c r="E26" s="35"/>
      <c r="F26" s="33"/>
      <c r="G26" s="824"/>
      <c r="H26" s="73"/>
    </row>
    <row r="27" spans="1:9" x14ac:dyDescent="0.25">
      <c r="A27" s="456" t="s">
        <v>1799</v>
      </c>
      <c r="B27" s="30"/>
      <c r="C27" s="30"/>
      <c r="D27" s="101"/>
      <c r="E27" s="41"/>
      <c r="F27" s="42"/>
      <c r="G27" s="824"/>
      <c r="H27" s="73"/>
    </row>
    <row r="28" spans="1:9" x14ac:dyDescent="0.25">
      <c r="A28" s="460" t="s">
        <v>1800</v>
      </c>
      <c r="B28" s="131"/>
      <c r="D28" s="166"/>
      <c r="E28" s="35"/>
      <c r="F28" s="33">
        <f>E331</f>
        <v>1075328.8</v>
      </c>
      <c r="G28" s="824">
        <v>1075328.8</v>
      </c>
      <c r="H28" s="73" t="s">
        <v>1801</v>
      </c>
    </row>
    <row r="29" spans="1:9" x14ac:dyDescent="0.25">
      <c r="A29" s="460" t="s">
        <v>1804</v>
      </c>
      <c r="B29" s="131"/>
      <c r="D29" s="4"/>
      <c r="E29" s="35"/>
      <c r="F29" s="372">
        <f>$E$340</f>
        <v>209092</v>
      </c>
      <c r="G29" s="824">
        <v>209092</v>
      </c>
      <c r="H29" s="73" t="s">
        <v>1961</v>
      </c>
    </row>
    <row r="30" spans="1:9" x14ac:dyDescent="0.25">
      <c r="A30" s="460" t="s">
        <v>1808</v>
      </c>
      <c r="B30" s="131"/>
      <c r="D30" s="166"/>
      <c r="E30" s="35"/>
      <c r="F30" s="33"/>
      <c r="G30" s="824"/>
      <c r="H30" s="73"/>
    </row>
    <row r="31" spans="1:9" x14ac:dyDescent="0.25">
      <c r="A31" s="492" t="s">
        <v>1067</v>
      </c>
      <c r="B31" s="131"/>
      <c r="D31" s="166"/>
      <c r="E31" s="35"/>
      <c r="F31" s="900">
        <f>B422</f>
        <v>334866</v>
      </c>
      <c r="G31" s="897">
        <v>334866</v>
      </c>
      <c r="H31" s="901" t="s">
        <v>1978</v>
      </c>
    </row>
    <row r="32" spans="1:9" x14ac:dyDescent="0.25">
      <c r="A32" s="492" t="s">
        <v>2165</v>
      </c>
      <c r="F32" s="900">
        <f>$F$451/5</f>
        <v>348046.51087642397</v>
      </c>
      <c r="G32" s="870">
        <v>325901.98270388565</v>
      </c>
      <c r="H32" s="901"/>
    </row>
    <row r="33" spans="1:10" x14ac:dyDescent="0.25">
      <c r="A33" s="460" t="s">
        <v>1811</v>
      </c>
      <c r="F33" s="900"/>
      <c r="H33" s="901"/>
    </row>
    <row r="34" spans="1:10" s="73" customFormat="1" x14ac:dyDescent="0.25">
      <c r="A34" s="322" t="s">
        <v>1069</v>
      </c>
      <c r="E34" s="237"/>
      <c r="F34" s="900">
        <f>25000</f>
        <v>25000</v>
      </c>
      <c r="G34" s="870">
        <v>25000</v>
      </c>
      <c r="H34" s="901"/>
      <c r="J34"/>
    </row>
    <row r="35" spans="1:10" x14ac:dyDescent="0.25">
      <c r="A35" s="492" t="s">
        <v>1070</v>
      </c>
      <c r="B35" s="93"/>
      <c r="D35" s="33"/>
      <c r="E35" s="35"/>
      <c r="F35" s="900">
        <f>$F$550</f>
        <v>92686.319999999992</v>
      </c>
      <c r="G35" s="897">
        <v>92686.319999999992</v>
      </c>
      <c r="H35" s="901"/>
    </row>
    <row r="36" spans="1:10" x14ac:dyDescent="0.25">
      <c r="A36" s="492" t="s">
        <v>1072</v>
      </c>
      <c r="D36" s="658"/>
      <c r="E36" s="237"/>
      <c r="F36" s="900">
        <v>0</v>
      </c>
      <c r="G36" s="897">
        <v>56000</v>
      </c>
      <c r="H36" s="901" t="s">
        <v>2195</v>
      </c>
    </row>
    <row r="37" spans="1:10" x14ac:dyDescent="0.25">
      <c r="A37" s="460" t="s">
        <v>1941</v>
      </c>
      <c r="B37" s="93"/>
      <c r="D37" s="33"/>
      <c r="E37" s="35"/>
      <c r="F37" s="900">
        <f>$D$698</f>
        <v>120818.88</v>
      </c>
      <c r="G37" s="897">
        <v>120818.88</v>
      </c>
      <c r="H37" s="901"/>
    </row>
    <row r="38" spans="1:10" x14ac:dyDescent="0.25">
      <c r="A38" s="460" t="s">
        <v>1814</v>
      </c>
      <c r="B38" s="93"/>
      <c r="D38" s="33"/>
      <c r="E38" s="35"/>
      <c r="F38" s="900">
        <f>$D$765</f>
        <v>41966.880000000005</v>
      </c>
      <c r="G38" s="897">
        <v>41966.880000000005</v>
      </c>
      <c r="H38" s="901"/>
    </row>
    <row r="39" spans="1:10" x14ac:dyDescent="0.25">
      <c r="A39" s="460" t="s">
        <v>1848</v>
      </c>
      <c r="B39" s="131"/>
      <c r="D39" s="372"/>
      <c r="E39" s="35"/>
      <c r="F39" s="900">
        <f>$D$556</f>
        <v>18444</v>
      </c>
      <c r="G39" s="897">
        <v>18444</v>
      </c>
      <c r="H39" s="901" t="s">
        <v>1979</v>
      </c>
      <c r="J39" s="497"/>
    </row>
    <row r="40" spans="1:10" x14ac:dyDescent="0.25">
      <c r="A40" s="460"/>
      <c r="B40" s="131"/>
      <c r="D40" s="166"/>
      <c r="E40" s="35"/>
      <c r="G40" s="824"/>
    </row>
    <row r="41" spans="1:10" x14ac:dyDescent="0.25">
      <c r="A41" s="456" t="s">
        <v>1803</v>
      </c>
      <c r="B41" s="30"/>
      <c r="C41" s="30"/>
      <c r="D41" s="101"/>
      <c r="E41" s="41"/>
      <c r="F41" s="42"/>
      <c r="G41" s="824"/>
      <c r="H41" s="73"/>
    </row>
    <row r="42" spans="1:10" x14ac:dyDescent="0.25">
      <c r="A42" s="460" t="s">
        <v>1800</v>
      </c>
      <c r="B42" s="131"/>
      <c r="D42" s="166"/>
      <c r="E42" s="35"/>
      <c r="F42" s="33">
        <f>$E$374</f>
        <v>1075328.8</v>
      </c>
      <c r="G42" s="824"/>
      <c r="H42" s="73" t="s">
        <v>1962</v>
      </c>
    </row>
    <row r="43" spans="1:10" x14ac:dyDescent="0.25">
      <c r="A43" s="460" t="s">
        <v>1804</v>
      </c>
      <c r="B43" s="131"/>
      <c r="D43" s="4"/>
      <c r="E43" s="35"/>
      <c r="F43" s="372">
        <f>$E$383</f>
        <v>209092</v>
      </c>
      <c r="G43" s="824"/>
      <c r="H43" s="73" t="s">
        <v>1961</v>
      </c>
    </row>
    <row r="44" spans="1:10" x14ac:dyDescent="0.25">
      <c r="A44" s="460" t="s">
        <v>1809</v>
      </c>
      <c r="B44" s="131"/>
      <c r="D44" s="166"/>
      <c r="E44" s="35"/>
      <c r="F44" s="372"/>
      <c r="G44" s="824"/>
      <c r="H44" s="73"/>
    </row>
    <row r="45" spans="1:10" x14ac:dyDescent="0.25">
      <c r="A45" s="492" t="s">
        <v>1810</v>
      </c>
      <c r="F45" s="372">
        <f>$F$451/5</f>
        <v>348046.51087642397</v>
      </c>
      <c r="H45" s="38"/>
    </row>
    <row r="46" spans="1:10" x14ac:dyDescent="0.25">
      <c r="A46" s="460" t="s">
        <v>1811</v>
      </c>
      <c r="F46" s="372"/>
      <c r="H46" s="38"/>
    </row>
    <row r="47" spans="1:10" s="73" customFormat="1" x14ac:dyDescent="0.25">
      <c r="A47" s="322" t="s">
        <v>1069</v>
      </c>
      <c r="E47" s="237"/>
      <c r="F47" s="658">
        <f>$F$34</f>
        <v>25000</v>
      </c>
      <c r="G47" s="230"/>
      <c r="H47" s="38"/>
      <c r="J47"/>
    </row>
    <row r="48" spans="1:10" x14ac:dyDescent="0.25">
      <c r="A48" s="492" t="s">
        <v>1070</v>
      </c>
      <c r="B48" s="93"/>
      <c r="D48" s="33"/>
      <c r="E48" s="35"/>
      <c r="F48" s="372">
        <f>$F$550</f>
        <v>92686.319999999992</v>
      </c>
      <c r="G48" s="824"/>
      <c r="H48" s="38"/>
    </row>
    <row r="49" spans="1:10" x14ac:dyDescent="0.25">
      <c r="A49" s="492" t="s">
        <v>1072</v>
      </c>
      <c r="D49" s="658"/>
      <c r="E49" s="237"/>
      <c r="F49" s="658">
        <v>0</v>
      </c>
      <c r="G49" s="824"/>
      <c r="H49" s="73" t="s">
        <v>2195</v>
      </c>
    </row>
    <row r="50" spans="1:10" x14ac:dyDescent="0.25">
      <c r="A50" s="460" t="s">
        <v>1941</v>
      </c>
      <c r="B50" s="93"/>
      <c r="D50" s="33"/>
      <c r="E50" s="35"/>
      <c r="F50" s="372">
        <f>$D$698</f>
        <v>120818.88</v>
      </c>
      <c r="G50" s="824"/>
      <c r="H50" s="73"/>
    </row>
    <row r="51" spans="1:10" x14ac:dyDescent="0.25">
      <c r="A51" s="460" t="s">
        <v>1814</v>
      </c>
      <c r="B51" s="93"/>
      <c r="D51" s="33"/>
      <c r="E51" s="35"/>
      <c r="F51" s="372">
        <f>$D$765</f>
        <v>41966.880000000005</v>
      </c>
      <c r="G51" s="824"/>
      <c r="H51" s="38"/>
    </row>
    <row r="52" spans="1:10" x14ac:dyDescent="0.25">
      <c r="A52" s="460" t="s">
        <v>1848</v>
      </c>
      <c r="B52" s="131"/>
      <c r="D52" s="372"/>
      <c r="E52" s="35"/>
      <c r="F52" s="372">
        <f>$D$556</f>
        <v>18444</v>
      </c>
      <c r="G52" s="824"/>
      <c r="H52" s="73" t="s">
        <v>1979</v>
      </c>
      <c r="J52" s="497"/>
    </row>
    <row r="53" spans="1:10" x14ac:dyDescent="0.25">
      <c r="A53" s="460"/>
      <c r="B53" s="131"/>
      <c r="D53" s="166"/>
      <c r="E53" s="35"/>
      <c r="F53" s="372"/>
      <c r="G53" s="824"/>
      <c r="H53" s="73"/>
    </row>
    <row r="54" spans="1:10" x14ac:dyDescent="0.25">
      <c r="A54" s="456" t="s">
        <v>1805</v>
      </c>
      <c r="B54" s="30"/>
      <c r="C54" s="30"/>
      <c r="D54" s="101"/>
      <c r="E54" s="41"/>
      <c r="F54" s="42"/>
      <c r="G54" s="824"/>
      <c r="H54" s="73"/>
    </row>
    <row r="55" spans="1:10" x14ac:dyDescent="0.25">
      <c r="A55" s="460" t="s">
        <v>1800</v>
      </c>
      <c r="B55" s="131"/>
      <c r="D55" s="166"/>
      <c r="E55" s="35"/>
      <c r="F55" s="33">
        <f>$E$374</f>
        <v>1075328.8</v>
      </c>
      <c r="G55" s="824"/>
      <c r="H55" s="73" t="s">
        <v>1962</v>
      </c>
    </row>
    <row r="56" spans="1:10" x14ac:dyDescent="0.25">
      <c r="A56" s="460" t="s">
        <v>1804</v>
      </c>
      <c r="B56" s="131"/>
      <c r="D56" s="4"/>
      <c r="E56" s="35"/>
      <c r="F56" s="33">
        <f>$E$383</f>
        <v>209092</v>
      </c>
      <c r="G56" s="824"/>
      <c r="H56" s="73" t="s">
        <v>1961</v>
      </c>
    </row>
    <row r="57" spans="1:10" x14ac:dyDescent="0.25">
      <c r="A57" s="460" t="s">
        <v>1809</v>
      </c>
      <c r="B57" s="131"/>
      <c r="D57" s="166"/>
      <c r="E57" s="35"/>
      <c r="F57" s="372"/>
      <c r="G57" s="824"/>
      <c r="H57" s="73"/>
    </row>
    <row r="58" spans="1:10" x14ac:dyDescent="0.25">
      <c r="A58" s="492" t="s">
        <v>1810</v>
      </c>
      <c r="F58" s="372">
        <f>$F$451/5</f>
        <v>348046.51087642397</v>
      </c>
      <c r="H58" s="38"/>
    </row>
    <row r="59" spans="1:10" x14ac:dyDescent="0.25">
      <c r="A59" s="460" t="s">
        <v>1811</v>
      </c>
      <c r="F59" s="372"/>
      <c r="H59" s="38"/>
    </row>
    <row r="60" spans="1:10" s="73" customFormat="1" x14ac:dyDescent="0.25">
      <c r="A60" s="322" t="s">
        <v>1069</v>
      </c>
      <c r="E60" s="237"/>
      <c r="F60" s="658">
        <f>$F$34</f>
        <v>25000</v>
      </c>
      <c r="G60" s="230"/>
      <c r="H60" s="38"/>
      <c r="J60"/>
    </row>
    <row r="61" spans="1:10" x14ac:dyDescent="0.25">
      <c r="A61" s="492" t="s">
        <v>1070</v>
      </c>
      <c r="B61" s="93"/>
      <c r="D61" s="33"/>
      <c r="E61" s="35"/>
      <c r="F61" s="372">
        <f>$F$550</f>
        <v>92686.319999999992</v>
      </c>
      <c r="G61" s="824"/>
      <c r="H61" s="38"/>
    </row>
    <row r="62" spans="1:10" x14ac:dyDescent="0.25">
      <c r="A62" s="492" t="s">
        <v>1072</v>
      </c>
      <c r="D62" s="658"/>
      <c r="E62" s="237"/>
      <c r="F62" s="658">
        <v>0</v>
      </c>
      <c r="G62" s="824"/>
      <c r="H62" s="73" t="s">
        <v>2195</v>
      </c>
    </row>
    <row r="63" spans="1:10" x14ac:dyDescent="0.25">
      <c r="A63" s="460" t="s">
        <v>1941</v>
      </c>
      <c r="B63" s="93"/>
      <c r="D63" s="33"/>
      <c r="E63" s="35"/>
      <c r="F63" s="372">
        <f>$D$698</f>
        <v>120818.88</v>
      </c>
      <c r="G63" s="824"/>
      <c r="H63" s="73"/>
    </row>
    <row r="64" spans="1:10" x14ac:dyDescent="0.25">
      <c r="A64" s="460" t="s">
        <v>1814</v>
      </c>
      <c r="B64" s="93"/>
      <c r="D64" s="33"/>
      <c r="E64" s="35"/>
      <c r="F64" s="372">
        <f>$D$765</f>
        <v>41966.880000000005</v>
      </c>
      <c r="G64" s="824"/>
      <c r="H64" s="38"/>
    </row>
    <row r="65" spans="1:10" x14ac:dyDescent="0.25">
      <c r="A65" s="460" t="s">
        <v>1848</v>
      </c>
      <c r="B65" s="131"/>
      <c r="D65" s="372"/>
      <c r="E65" s="35"/>
      <c r="F65" s="372">
        <f>$D$556</f>
        <v>18444</v>
      </c>
      <c r="G65" s="824"/>
      <c r="H65" s="73" t="s">
        <v>1979</v>
      </c>
      <c r="J65" s="497"/>
    </row>
    <row r="66" spans="1:10" x14ac:dyDescent="0.25">
      <c r="A66" s="460"/>
      <c r="B66" s="131"/>
      <c r="D66" s="166"/>
      <c r="E66" s="35"/>
      <c r="F66" s="33"/>
      <c r="G66" s="824"/>
      <c r="H66" s="73"/>
    </row>
    <row r="67" spans="1:10" x14ac:dyDescent="0.25">
      <c r="A67" s="456" t="s">
        <v>1806</v>
      </c>
      <c r="B67" s="30"/>
      <c r="C67" s="30"/>
      <c r="D67" s="101"/>
      <c r="E67" s="41"/>
      <c r="F67" s="42"/>
      <c r="G67" s="824"/>
      <c r="H67" s="73"/>
    </row>
    <row r="68" spans="1:10" x14ac:dyDescent="0.25">
      <c r="A68" s="460" t="s">
        <v>1800</v>
      </c>
      <c r="B68" s="131"/>
      <c r="D68" s="166"/>
      <c r="E68" s="35"/>
      <c r="F68" s="33">
        <f>$E$374</f>
        <v>1075328.8</v>
      </c>
      <c r="G68" s="824"/>
      <c r="H68" s="73" t="s">
        <v>1962</v>
      </c>
    </row>
    <row r="69" spans="1:10" x14ac:dyDescent="0.25">
      <c r="A69" s="460" t="s">
        <v>1804</v>
      </c>
      <c r="B69" s="131"/>
      <c r="D69" s="4"/>
      <c r="E69" s="35"/>
      <c r="F69" s="372">
        <f>$E$383</f>
        <v>209092</v>
      </c>
      <c r="G69" s="824"/>
      <c r="H69" s="73" t="s">
        <v>1961</v>
      </c>
    </row>
    <row r="70" spans="1:10" x14ac:dyDescent="0.25">
      <c r="A70" s="460" t="s">
        <v>1809</v>
      </c>
      <c r="B70" s="131"/>
      <c r="D70" s="166"/>
      <c r="E70" s="35"/>
      <c r="F70" s="372"/>
      <c r="G70" s="824"/>
      <c r="H70" s="73"/>
    </row>
    <row r="71" spans="1:10" x14ac:dyDescent="0.25">
      <c r="A71" s="492" t="s">
        <v>1810</v>
      </c>
      <c r="F71" s="372">
        <f>$F$451/5</f>
        <v>348046.51087642397</v>
      </c>
      <c r="H71" s="38"/>
    </row>
    <row r="72" spans="1:10" x14ac:dyDescent="0.25">
      <c r="A72" s="460" t="s">
        <v>1811</v>
      </c>
      <c r="F72" s="372"/>
      <c r="H72" s="38"/>
    </row>
    <row r="73" spans="1:10" s="73" customFormat="1" x14ac:dyDescent="0.25">
      <c r="A73" s="322" t="s">
        <v>1069</v>
      </c>
      <c r="E73" s="237"/>
      <c r="F73" s="658">
        <f>$F$34</f>
        <v>25000</v>
      </c>
      <c r="G73" s="230"/>
      <c r="H73" s="38"/>
      <c r="J73"/>
    </row>
    <row r="74" spans="1:10" x14ac:dyDescent="0.25">
      <c r="A74" s="492" t="s">
        <v>1070</v>
      </c>
      <c r="B74" s="93"/>
      <c r="D74" s="33"/>
      <c r="E74" s="35"/>
      <c r="F74" s="372">
        <f>$F$550</f>
        <v>92686.319999999992</v>
      </c>
      <c r="G74" s="824"/>
      <c r="H74" s="38"/>
    </row>
    <row r="75" spans="1:10" x14ac:dyDescent="0.25">
      <c r="A75" s="492" t="s">
        <v>1072</v>
      </c>
      <c r="D75" s="658"/>
      <c r="E75" s="237"/>
      <c r="F75" s="658">
        <v>0</v>
      </c>
      <c r="G75" s="824"/>
      <c r="H75" s="73" t="s">
        <v>2195</v>
      </c>
    </row>
    <row r="76" spans="1:10" x14ac:dyDescent="0.25">
      <c r="A76" s="460" t="s">
        <v>1941</v>
      </c>
      <c r="B76" s="93"/>
      <c r="D76" s="33"/>
      <c r="E76" s="35"/>
      <c r="F76" s="372">
        <f>$D$698</f>
        <v>120818.88</v>
      </c>
      <c r="G76" s="824"/>
      <c r="H76" s="73"/>
    </row>
    <row r="77" spans="1:10" x14ac:dyDescent="0.25">
      <c r="A77" s="460" t="s">
        <v>1814</v>
      </c>
      <c r="B77" s="93"/>
      <c r="D77" s="33"/>
      <c r="E77" s="35"/>
      <c r="F77" s="372">
        <f>$D$765</f>
        <v>41966.880000000005</v>
      </c>
      <c r="G77" s="824"/>
      <c r="H77" s="38"/>
    </row>
    <row r="78" spans="1:10" x14ac:dyDescent="0.25">
      <c r="A78" s="460" t="s">
        <v>1848</v>
      </c>
      <c r="B78" s="131"/>
      <c r="D78" s="372"/>
      <c r="E78" s="35"/>
      <c r="F78" s="372">
        <f>$D$556</f>
        <v>18444</v>
      </c>
      <c r="G78" s="824"/>
      <c r="H78" s="73" t="s">
        <v>1979</v>
      </c>
      <c r="J78" s="497"/>
    </row>
    <row r="79" spans="1:10" x14ac:dyDescent="0.25">
      <c r="A79" s="460"/>
      <c r="B79" s="131"/>
      <c r="D79" s="166"/>
      <c r="E79" s="35"/>
      <c r="F79" s="33"/>
      <c r="G79" s="824"/>
      <c r="H79" s="73"/>
    </row>
    <row r="80" spans="1:10" x14ac:dyDescent="0.25">
      <c r="A80" s="456" t="s">
        <v>1807</v>
      </c>
      <c r="B80" s="30"/>
      <c r="C80" s="30"/>
      <c r="D80" s="101"/>
      <c r="E80" s="41"/>
      <c r="F80" s="42"/>
      <c r="G80" s="824"/>
      <c r="H80" s="73"/>
    </row>
    <row r="81" spans="1:10" x14ac:dyDescent="0.25">
      <c r="A81" s="460" t="s">
        <v>1800</v>
      </c>
      <c r="B81" s="131"/>
      <c r="D81" s="166"/>
      <c r="E81" s="35"/>
      <c r="F81" s="33">
        <f>$E$374</f>
        <v>1075328.8</v>
      </c>
      <c r="G81" s="824"/>
      <c r="H81" s="73" t="s">
        <v>1962</v>
      </c>
    </row>
    <row r="82" spans="1:10" x14ac:dyDescent="0.25">
      <c r="A82" s="460" t="s">
        <v>1804</v>
      </c>
      <c r="B82" s="131"/>
      <c r="D82" s="4"/>
      <c r="E82" s="35"/>
      <c r="F82" s="372">
        <f>$E$383</f>
        <v>209092</v>
      </c>
      <c r="G82" s="824"/>
      <c r="H82" s="73" t="s">
        <v>1961</v>
      </c>
    </row>
    <row r="83" spans="1:10" x14ac:dyDescent="0.25">
      <c r="A83" s="460" t="s">
        <v>1809</v>
      </c>
      <c r="B83" s="131"/>
      <c r="D83" s="166"/>
      <c r="E83" s="35"/>
      <c r="F83" s="372"/>
      <c r="G83" s="824"/>
      <c r="H83" s="73"/>
    </row>
    <row r="84" spans="1:10" x14ac:dyDescent="0.25">
      <c r="A84" s="492" t="s">
        <v>1810</v>
      </c>
      <c r="F84" s="372">
        <f>$F$451/5</f>
        <v>348046.51087642397</v>
      </c>
      <c r="H84" s="38"/>
    </row>
    <row r="85" spans="1:10" x14ac:dyDescent="0.25">
      <c r="A85" s="460" t="s">
        <v>1811</v>
      </c>
      <c r="F85" s="372"/>
      <c r="H85" s="38"/>
    </row>
    <row r="86" spans="1:10" s="73" customFormat="1" x14ac:dyDescent="0.25">
      <c r="A86" s="322" t="s">
        <v>1069</v>
      </c>
      <c r="E86" s="237"/>
      <c r="F86" s="658">
        <f>$F$34</f>
        <v>25000</v>
      </c>
      <c r="G86" s="230"/>
      <c r="H86" s="38"/>
      <c r="J86"/>
    </row>
    <row r="87" spans="1:10" x14ac:dyDescent="0.25">
      <c r="A87" s="492" t="s">
        <v>1070</v>
      </c>
      <c r="B87" s="93"/>
      <c r="D87" s="33"/>
      <c r="E87" s="35"/>
      <c r="F87" s="372">
        <f>$F$550</f>
        <v>92686.319999999992</v>
      </c>
      <c r="G87" s="824"/>
      <c r="H87" s="38"/>
    </row>
    <row r="88" spans="1:10" x14ac:dyDescent="0.25">
      <c r="A88" s="492" t="s">
        <v>1072</v>
      </c>
      <c r="D88" s="658"/>
      <c r="E88" s="237"/>
      <c r="F88" s="658">
        <v>0</v>
      </c>
      <c r="G88" s="824"/>
      <c r="H88" s="73" t="s">
        <v>2195</v>
      </c>
    </row>
    <row r="89" spans="1:10" x14ac:dyDescent="0.25">
      <c r="A89" s="460" t="s">
        <v>1941</v>
      </c>
      <c r="B89" s="93"/>
      <c r="D89" s="33"/>
      <c r="E89" s="35"/>
      <c r="F89" s="372">
        <f>$D$698</f>
        <v>120818.88</v>
      </c>
      <c r="G89" s="824"/>
      <c r="H89" s="73"/>
    </row>
    <row r="90" spans="1:10" x14ac:dyDescent="0.25">
      <c r="A90" s="460" t="s">
        <v>1814</v>
      </c>
      <c r="B90" s="93"/>
      <c r="D90" s="33"/>
      <c r="E90" s="35"/>
      <c r="F90" s="33">
        <f>$D$765</f>
        <v>41966.880000000005</v>
      </c>
      <c r="G90" s="824"/>
      <c r="H90" s="38"/>
    </row>
    <row r="91" spans="1:10" x14ac:dyDescent="0.25">
      <c r="A91" s="460" t="s">
        <v>1071</v>
      </c>
      <c r="B91" s="131"/>
      <c r="D91" s="372"/>
      <c r="E91" s="35"/>
      <c r="F91" s="372">
        <f>$D$556+D557</f>
        <v>63273.599999999999</v>
      </c>
      <c r="G91" s="824"/>
      <c r="H91" s="73" t="s">
        <v>1979</v>
      </c>
      <c r="J91" s="497"/>
    </row>
    <row r="92" spans="1:10" x14ac:dyDescent="0.25">
      <c r="A92" s="460"/>
      <c r="B92" s="131"/>
      <c r="D92" s="166"/>
      <c r="E92" s="35"/>
      <c r="F92" s="33"/>
      <c r="G92" s="824"/>
      <c r="H92" s="73"/>
    </row>
    <row r="93" spans="1:10" x14ac:dyDescent="0.25">
      <c r="A93" s="50" t="s">
        <v>1073</v>
      </c>
      <c r="B93" s="49"/>
      <c r="C93" s="49"/>
      <c r="D93" s="49"/>
      <c r="E93" s="49"/>
      <c r="F93" s="65">
        <f>SUM(F10:F92)</f>
        <v>13864279.496203329</v>
      </c>
    </row>
    <row r="94" spans="1:10" x14ac:dyDescent="0.25">
      <c r="A94" s="3"/>
      <c r="B94" s="3"/>
      <c r="C94" s="3"/>
      <c r="D94" s="3"/>
      <c r="E94" s="3"/>
      <c r="F94" s="3"/>
      <c r="G94" s="826"/>
      <c r="H94" s="34"/>
      <c r="I94" s="3"/>
      <c r="J94" s="3"/>
    </row>
    <row r="95" spans="1:10" x14ac:dyDescent="0.25">
      <c r="A95" s="3"/>
      <c r="B95" s="3"/>
      <c r="C95" s="3"/>
      <c r="D95" s="3"/>
      <c r="E95" s="3"/>
      <c r="F95" s="3"/>
      <c r="G95" s="826"/>
      <c r="H95" s="34"/>
      <c r="I95" s="3"/>
      <c r="J95" s="3"/>
    </row>
    <row r="96" spans="1:10" s="73" customFormat="1" ht="15.75" thickBot="1" x14ac:dyDescent="0.3">
      <c r="A96" s="295"/>
      <c r="B96" s="295"/>
      <c r="C96" s="295"/>
      <c r="G96" s="827"/>
    </row>
    <row r="97" spans="1:12" s="73" customFormat="1" x14ac:dyDescent="0.25">
      <c r="A97" s="473" t="s">
        <v>1074</v>
      </c>
      <c r="B97" s="474"/>
      <c r="C97" s="475"/>
      <c r="E97" s="295"/>
      <c r="F97" s="295"/>
      <c r="G97" s="827"/>
      <c r="H97" s="295"/>
      <c r="I97" s="295"/>
      <c r="J97" s="295"/>
      <c r="K97" s="295"/>
      <c r="L97" s="295"/>
    </row>
    <row r="98" spans="1:12" s="73" customFormat="1" x14ac:dyDescent="0.25">
      <c r="A98" s="73" t="s">
        <v>1075</v>
      </c>
      <c r="B98" s="78">
        <v>13.43</v>
      </c>
      <c r="C98" s="237" t="s">
        <v>1037</v>
      </c>
      <c r="E98" s="295" t="s">
        <v>1076</v>
      </c>
      <c r="F98" s="295"/>
      <c r="G98" s="827"/>
      <c r="H98" s="295"/>
      <c r="I98" s="295"/>
      <c r="J98" s="295"/>
      <c r="K98" s="295"/>
      <c r="L98" s="295"/>
    </row>
    <row r="99" spans="1:12" s="73" customFormat="1" x14ac:dyDescent="0.25">
      <c r="A99" s="295" t="s">
        <v>1077</v>
      </c>
      <c r="B99" s="78">
        <v>13.43</v>
      </c>
      <c r="C99" s="237" t="s">
        <v>1037</v>
      </c>
      <c r="E99" s="295" t="s">
        <v>1078</v>
      </c>
      <c r="F99" s="295"/>
      <c r="G99" s="827"/>
      <c r="H99" s="295"/>
      <c r="I99" s="295"/>
      <c r="J99" s="295"/>
      <c r="K99" s="295"/>
      <c r="L99" s="295"/>
    </row>
    <row r="100" spans="1:12" s="73" customFormat="1" x14ac:dyDescent="0.25">
      <c r="A100" s="73" t="s">
        <v>1079</v>
      </c>
      <c r="B100" s="78">
        <v>20.079999999999998</v>
      </c>
      <c r="C100" s="237" t="s">
        <v>1037</v>
      </c>
      <c r="E100" s="295" t="s">
        <v>1080</v>
      </c>
      <c r="F100" s="295"/>
      <c r="G100" s="827"/>
      <c r="H100" s="295"/>
      <c r="I100" s="295"/>
      <c r="J100" s="295"/>
      <c r="K100" s="295"/>
      <c r="L100" s="295"/>
    </row>
    <row r="101" spans="1:12" s="73" customFormat="1" x14ac:dyDescent="0.25">
      <c r="A101" s="73" t="s">
        <v>1081</v>
      </c>
      <c r="B101" s="78">
        <v>460.65</v>
      </c>
      <c r="C101" s="237" t="s">
        <v>447</v>
      </c>
      <c r="E101" s="295" t="s">
        <v>1082</v>
      </c>
      <c r="F101" s="295"/>
      <c r="G101" s="827"/>
      <c r="H101" s="295"/>
      <c r="I101" s="295"/>
      <c r="J101" s="295"/>
      <c r="K101" s="295"/>
      <c r="L101" s="295"/>
    </row>
    <row r="102" spans="1:12" x14ac:dyDescent="0.25">
      <c r="A102" s="3"/>
      <c r="G102" s="828"/>
      <c r="H102" s="16"/>
    </row>
    <row r="105" spans="1:12" x14ac:dyDescent="0.25">
      <c r="A105" s="26" t="s">
        <v>782</v>
      </c>
      <c r="B105" s="30"/>
      <c r="C105" s="36"/>
      <c r="D105" s="36"/>
      <c r="E105" s="36"/>
      <c r="F105" s="30"/>
      <c r="G105" s="829"/>
      <c r="H105" s="30"/>
    </row>
    <row r="108" spans="1:12" x14ac:dyDescent="0.25">
      <c r="A108" s="26" t="s">
        <v>1853</v>
      </c>
      <c r="B108" s="79"/>
      <c r="C108" s="79"/>
      <c r="D108" s="79"/>
      <c r="E108" s="79"/>
      <c r="F108" s="79"/>
    </row>
    <row r="137" spans="1:8" x14ac:dyDescent="0.25">
      <c r="D137" s="73"/>
      <c r="E137" s="73"/>
      <c r="F137" s="73"/>
      <c r="G137" s="230"/>
      <c r="H137" s="73"/>
    </row>
    <row r="144" spans="1:8" x14ac:dyDescent="0.25">
      <c r="A144" s="244" t="s">
        <v>1106</v>
      </c>
      <c r="D144" s="8" t="s">
        <v>1107</v>
      </c>
      <c r="E144" s="186" t="s">
        <v>1108</v>
      </c>
    </row>
    <row r="145" spans="4:5" x14ac:dyDescent="0.25">
      <c r="D145" t="s">
        <v>1109</v>
      </c>
      <c r="E145" s="1">
        <v>200</v>
      </c>
    </row>
    <row r="146" spans="4:5" x14ac:dyDescent="0.25">
      <c r="D146" t="s">
        <v>1110</v>
      </c>
      <c r="E146" s="1">
        <v>200</v>
      </c>
    </row>
    <row r="147" spans="4:5" x14ac:dyDescent="0.25">
      <c r="D147" t="s">
        <v>1111</v>
      </c>
      <c r="E147" s="1">
        <v>200</v>
      </c>
    </row>
    <row r="148" spans="4:5" x14ac:dyDescent="0.25">
      <c r="D148" t="s">
        <v>1112</v>
      </c>
      <c r="E148" s="1">
        <v>150</v>
      </c>
    </row>
    <row r="149" spans="4:5" x14ac:dyDescent="0.25">
      <c r="D149" t="s">
        <v>1113</v>
      </c>
      <c r="E149" s="1">
        <v>200</v>
      </c>
    </row>
    <row r="150" spans="4:5" x14ac:dyDescent="0.25">
      <c r="D150" t="s">
        <v>1114</v>
      </c>
      <c r="E150" s="1">
        <v>191</v>
      </c>
    </row>
    <row r="151" spans="4:5" x14ac:dyDescent="0.25">
      <c r="D151" t="s">
        <v>1115</v>
      </c>
      <c r="E151" s="1">
        <v>195</v>
      </c>
    </row>
    <row r="152" spans="4:5" x14ac:dyDescent="0.25">
      <c r="D152" t="s">
        <v>1116</v>
      </c>
      <c r="E152" s="1">
        <v>115</v>
      </c>
    </row>
    <row r="153" spans="4:5" x14ac:dyDescent="0.25">
      <c r="D153" t="s">
        <v>1117</v>
      </c>
      <c r="E153" s="1">
        <v>230</v>
      </c>
    </row>
    <row r="154" spans="4:5" x14ac:dyDescent="0.25">
      <c r="D154" t="s">
        <v>1118</v>
      </c>
      <c r="E154" s="1">
        <v>197</v>
      </c>
    </row>
    <row r="155" spans="4:5" x14ac:dyDescent="0.25">
      <c r="D155" t="s">
        <v>1119</v>
      </c>
      <c r="E155" s="1">
        <v>386</v>
      </c>
    </row>
    <row r="156" spans="4:5" x14ac:dyDescent="0.25">
      <c r="D156" t="s">
        <v>1120</v>
      </c>
      <c r="E156" s="1">
        <v>220</v>
      </c>
    </row>
    <row r="157" spans="4:5" x14ac:dyDescent="0.25">
      <c r="D157" t="s">
        <v>1121</v>
      </c>
      <c r="E157" s="1">
        <v>240</v>
      </c>
    </row>
    <row r="158" spans="4:5" x14ac:dyDescent="0.25">
      <c r="D158" t="s">
        <v>1122</v>
      </c>
      <c r="E158" s="1">
        <v>400</v>
      </c>
    </row>
    <row r="159" spans="4:5" x14ac:dyDescent="0.25">
      <c r="D159" t="s">
        <v>1123</v>
      </c>
      <c r="E159" s="1">
        <v>203</v>
      </c>
    </row>
    <row r="160" spans="4:5" x14ac:dyDescent="0.25">
      <c r="D160" t="s">
        <v>1124</v>
      </c>
      <c r="E160" s="1">
        <v>102</v>
      </c>
    </row>
    <row r="161" spans="1:5" x14ac:dyDescent="0.25">
      <c r="D161" t="s">
        <v>1125</v>
      </c>
      <c r="E161" s="1">
        <v>142</v>
      </c>
    </row>
    <row r="162" spans="1:5" x14ac:dyDescent="0.25">
      <c r="D162" t="s">
        <v>1126</v>
      </c>
      <c r="E162" s="1">
        <v>100</v>
      </c>
    </row>
    <row r="163" spans="1:5" x14ac:dyDescent="0.25">
      <c r="D163" t="s">
        <v>1127</v>
      </c>
      <c r="E163" s="1">
        <v>201</v>
      </c>
    </row>
    <row r="164" spans="1:5" x14ac:dyDescent="0.25">
      <c r="D164" t="s">
        <v>1128</v>
      </c>
      <c r="E164" s="1">
        <v>99</v>
      </c>
    </row>
    <row r="165" spans="1:5" x14ac:dyDescent="0.25">
      <c r="D165" t="s">
        <v>1129</v>
      </c>
      <c r="E165" s="1">
        <v>101</v>
      </c>
    </row>
    <row r="166" spans="1:5" x14ac:dyDescent="0.25">
      <c r="D166" t="s">
        <v>1130</v>
      </c>
      <c r="E166" s="1">
        <v>517</v>
      </c>
    </row>
    <row r="167" spans="1:5" x14ac:dyDescent="0.25">
      <c r="D167" t="s">
        <v>1131</v>
      </c>
      <c r="E167" s="1">
        <v>552</v>
      </c>
    </row>
    <row r="168" spans="1:5" x14ac:dyDescent="0.25">
      <c r="D168" s="8" t="s">
        <v>1132</v>
      </c>
      <c r="E168" s="186">
        <v>552</v>
      </c>
    </row>
    <row r="169" spans="1:5" x14ac:dyDescent="0.25">
      <c r="D169" s="3" t="s">
        <v>578</v>
      </c>
      <c r="E169" s="2">
        <v>5693</v>
      </c>
    </row>
    <row r="170" spans="1:5" x14ac:dyDescent="0.25">
      <c r="E170" s="245"/>
    </row>
    <row r="171" spans="1:5" x14ac:dyDescent="0.25">
      <c r="E171" s="245"/>
    </row>
    <row r="172" spans="1:5" x14ac:dyDescent="0.25">
      <c r="A172" s="244" t="s">
        <v>1133</v>
      </c>
      <c r="E172" s="245"/>
    </row>
    <row r="173" spans="1:5" x14ac:dyDescent="0.25">
      <c r="E173" s="245"/>
    </row>
    <row r="174" spans="1:5" x14ac:dyDescent="0.25">
      <c r="E174" s="245"/>
    </row>
    <row r="175" spans="1:5" x14ac:dyDescent="0.25">
      <c r="E175" s="245"/>
    </row>
    <row r="176" spans="1:5" x14ac:dyDescent="0.25">
      <c r="E176" s="245"/>
    </row>
    <row r="177" spans="4:5" x14ac:dyDescent="0.25">
      <c r="E177" s="245"/>
    </row>
    <row r="178" spans="4:5" x14ac:dyDescent="0.25">
      <c r="E178" s="245"/>
    </row>
    <row r="179" spans="4:5" x14ac:dyDescent="0.25">
      <c r="D179" s="246"/>
      <c r="E179" s="245"/>
    </row>
    <row r="182" spans="4:5" x14ac:dyDescent="0.25">
      <c r="E182" s="245"/>
    </row>
    <row r="183" spans="4:5" x14ac:dyDescent="0.25">
      <c r="E183" s="245"/>
    </row>
    <row r="184" spans="4:5" x14ac:dyDescent="0.25">
      <c r="E184" s="245"/>
    </row>
    <row r="185" spans="4:5" x14ac:dyDescent="0.25">
      <c r="E185" s="245"/>
    </row>
    <row r="186" spans="4:5" x14ac:dyDescent="0.25">
      <c r="E186" s="245"/>
    </row>
    <row r="187" spans="4:5" x14ac:dyDescent="0.25">
      <c r="E187" s="245"/>
    </row>
    <row r="188" spans="4:5" x14ac:dyDescent="0.25">
      <c r="E188" s="245"/>
    </row>
    <row r="189" spans="4:5" x14ac:dyDescent="0.25">
      <c r="E189" s="245"/>
    </row>
    <row r="190" spans="4:5" x14ac:dyDescent="0.25">
      <c r="E190" s="245"/>
    </row>
    <row r="191" spans="4:5" x14ac:dyDescent="0.25">
      <c r="E191" s="245"/>
    </row>
    <row r="192" spans="4:5" x14ac:dyDescent="0.25">
      <c r="E192" s="245"/>
    </row>
    <row r="193" spans="1:7" x14ac:dyDescent="0.25">
      <c r="E193" s="245"/>
    </row>
    <row r="194" spans="1:7" x14ac:dyDescent="0.25">
      <c r="E194" s="245"/>
    </row>
    <row r="195" spans="1:7" x14ac:dyDescent="0.25">
      <c r="E195" s="245"/>
    </row>
    <row r="196" spans="1:7" x14ac:dyDescent="0.25">
      <c r="E196" s="245"/>
    </row>
    <row r="197" spans="1:7" x14ac:dyDescent="0.25">
      <c r="E197" s="245"/>
    </row>
    <row r="198" spans="1:7" x14ac:dyDescent="0.25">
      <c r="E198" s="245"/>
    </row>
    <row r="199" spans="1:7" x14ac:dyDescent="0.25">
      <c r="E199" s="245"/>
    </row>
    <row r="200" spans="1:7" s="3" customFormat="1" ht="14.45" customHeight="1" x14ac:dyDescent="0.3">
      <c r="A200" s="26"/>
      <c r="B200" s="404"/>
      <c r="C200" s="404"/>
      <c r="D200" s="26"/>
      <c r="E200" s="26"/>
      <c r="F200" s="26"/>
      <c r="G200" s="21"/>
    </row>
    <row r="201" spans="1:7" x14ac:dyDescent="0.25">
      <c r="E201" s="245"/>
    </row>
    <row r="203" spans="1:7" s="3" customFormat="1" ht="18.75" x14ac:dyDescent="0.3">
      <c r="A203" s="26" t="s">
        <v>1968</v>
      </c>
      <c r="B203" s="404"/>
      <c r="C203" s="404"/>
      <c r="D203" s="26"/>
      <c r="E203" s="26"/>
      <c r="F203" s="26"/>
      <c r="G203" s="21"/>
    </row>
    <row r="205" spans="1:7" x14ac:dyDescent="0.25">
      <c r="A205" s="45"/>
    </row>
    <row r="213" spans="1:5" x14ac:dyDescent="0.25">
      <c r="A213" s="45"/>
    </row>
    <row r="214" spans="1:5" x14ac:dyDescent="0.25">
      <c r="A214" s="21"/>
    </row>
    <row r="215" spans="1:5" x14ac:dyDescent="0.25">
      <c r="A215" s="21"/>
    </row>
    <row r="216" spans="1:5" x14ac:dyDescent="0.25">
      <c r="A216" s="21"/>
    </row>
    <row r="217" spans="1:5" x14ac:dyDescent="0.25">
      <c r="A217" s="21"/>
    </row>
    <row r="218" spans="1:5" x14ac:dyDescent="0.25">
      <c r="A218" s="21"/>
    </row>
    <row r="219" spans="1:5" x14ac:dyDescent="0.25">
      <c r="A219" s="21"/>
    </row>
    <row r="220" spans="1:5" x14ac:dyDescent="0.25">
      <c r="A220" s="21"/>
    </row>
    <row r="221" spans="1:5" x14ac:dyDescent="0.25">
      <c r="A221" s="455" t="s">
        <v>1134</v>
      </c>
      <c r="C221">
        <v>6387.5</v>
      </c>
      <c r="E221" t="s">
        <v>1135</v>
      </c>
    </row>
    <row r="222" spans="1:5" x14ac:dyDescent="0.25">
      <c r="A222" s="455" t="s">
        <v>1136</v>
      </c>
      <c r="C222">
        <v>330</v>
      </c>
      <c r="E222" t="s">
        <v>1135</v>
      </c>
    </row>
    <row r="223" spans="1:5" x14ac:dyDescent="0.25">
      <c r="A223" s="455" t="s">
        <v>1137</v>
      </c>
      <c r="C223">
        <v>10</v>
      </c>
      <c r="E223" t="s">
        <v>1135</v>
      </c>
    </row>
    <row r="224" spans="1:5" x14ac:dyDescent="0.25">
      <c r="A224" s="455" t="s">
        <v>1138</v>
      </c>
      <c r="C224">
        <v>4.5</v>
      </c>
      <c r="E224" t="s">
        <v>1135</v>
      </c>
    </row>
    <row r="225" spans="1:17" x14ac:dyDescent="0.25">
      <c r="A225" s="455" t="s">
        <v>1139</v>
      </c>
      <c r="C225">
        <v>1</v>
      </c>
      <c r="E225" t="s">
        <v>1135</v>
      </c>
    </row>
    <row r="226" spans="1:17" x14ac:dyDescent="0.25">
      <c r="A226" s="455" t="s">
        <v>1140</v>
      </c>
      <c r="C226" s="225" t="s">
        <v>1141</v>
      </c>
      <c r="E226" t="s">
        <v>1135</v>
      </c>
    </row>
    <row r="227" spans="1:17" x14ac:dyDescent="0.25">
      <c r="A227" s="455" t="s">
        <v>1142</v>
      </c>
      <c r="C227" s="225" t="s">
        <v>1143</v>
      </c>
      <c r="E227" t="s">
        <v>1135</v>
      </c>
    </row>
    <row r="228" spans="1:17" x14ac:dyDescent="0.25">
      <c r="A228" s="455" t="s">
        <v>1144</v>
      </c>
      <c r="C228" s="256">
        <v>2539</v>
      </c>
      <c r="E228" t="s">
        <v>1135</v>
      </c>
    </row>
    <row r="229" spans="1:17" x14ac:dyDescent="0.25">
      <c r="A229" s="455" t="s">
        <v>1145</v>
      </c>
      <c r="C229" s="257">
        <v>150000</v>
      </c>
      <c r="E229" t="s">
        <v>1135</v>
      </c>
    </row>
    <row r="230" spans="1:17" x14ac:dyDescent="0.25">
      <c r="A230" s="455" t="s">
        <v>1146</v>
      </c>
      <c r="C230" s="257">
        <f>C229*C235</f>
        <v>187500</v>
      </c>
    </row>
    <row r="231" spans="1:17" x14ac:dyDescent="0.25">
      <c r="A231" s="455" t="s">
        <v>1147</v>
      </c>
      <c r="C231" s="256">
        <v>730</v>
      </c>
      <c r="E231" t="s">
        <v>1135</v>
      </c>
    </row>
    <row r="232" spans="1:17" x14ac:dyDescent="0.25">
      <c r="A232" s="455" t="s">
        <v>1148</v>
      </c>
      <c r="C232" s="256">
        <v>7450</v>
      </c>
      <c r="E232" t="s">
        <v>1135</v>
      </c>
    </row>
    <row r="233" spans="1:17" x14ac:dyDescent="0.25">
      <c r="A233" s="455" t="s">
        <v>1149</v>
      </c>
      <c r="C233" s="256">
        <f>(C231*55)/27</f>
        <v>1487.037037037037</v>
      </c>
      <c r="D233" s="249"/>
      <c r="E233" t="s">
        <v>1150</v>
      </c>
    </row>
    <row r="234" spans="1:17" x14ac:dyDescent="0.25">
      <c r="A234" s="455" t="s">
        <v>1151</v>
      </c>
      <c r="C234" s="225">
        <v>2</v>
      </c>
      <c r="E234" t="s">
        <v>1135</v>
      </c>
    </row>
    <row r="235" spans="1:17" x14ac:dyDescent="0.25">
      <c r="A235" s="455" t="s">
        <v>1152</v>
      </c>
      <c r="C235" s="225">
        <v>1.25</v>
      </c>
    </row>
    <row r="236" spans="1:17" x14ac:dyDescent="0.25">
      <c r="A236" s="455"/>
    </row>
    <row r="237" spans="1:17" x14ac:dyDescent="0.25">
      <c r="A237" s="445" t="s">
        <v>1153</v>
      </c>
    </row>
    <row r="238" spans="1:17" x14ac:dyDescent="0.25">
      <c r="A238" s="455" t="s">
        <v>1154</v>
      </c>
      <c r="C238" s="8">
        <v>52.65</v>
      </c>
      <c r="E238" t="s">
        <v>1782</v>
      </c>
      <c r="Q238" s="21"/>
    </row>
    <row r="239" spans="1:17" x14ac:dyDescent="0.25">
      <c r="A239" s="455" t="s">
        <v>1155</v>
      </c>
      <c r="C239" s="72">
        <f>C233*C238</f>
        <v>78292.5</v>
      </c>
    </row>
    <row r="240" spans="1:17" x14ac:dyDescent="0.25">
      <c r="A240" s="455"/>
    </row>
    <row r="241" spans="1:9" x14ac:dyDescent="0.25">
      <c r="A241" s="445" t="s">
        <v>1156</v>
      </c>
    </row>
    <row r="242" spans="1:9" x14ac:dyDescent="0.25">
      <c r="A242" s="455" t="s">
        <v>1157</v>
      </c>
      <c r="C242" s="491">
        <v>16.53</v>
      </c>
      <c r="D242" s="38"/>
      <c r="E242" s="73" t="s">
        <v>1813</v>
      </c>
    </row>
    <row r="243" spans="1:9" x14ac:dyDescent="0.25">
      <c r="A243" s="455" t="s">
        <v>1158</v>
      </c>
      <c r="C243" s="72">
        <f>C229*C242</f>
        <v>2479500</v>
      </c>
    </row>
    <row r="244" spans="1:9" x14ac:dyDescent="0.25">
      <c r="A244" s="455"/>
    </row>
    <row r="245" spans="1:9" x14ac:dyDescent="0.25">
      <c r="A245" s="445" t="s">
        <v>1159</v>
      </c>
    </row>
    <row r="246" spans="1:9" x14ac:dyDescent="0.25">
      <c r="A246" s="455" t="s">
        <v>1160</v>
      </c>
      <c r="C246" s="258">
        <f>C231+C232</f>
        <v>8180</v>
      </c>
    </row>
    <row r="247" spans="1:9" x14ac:dyDescent="0.25">
      <c r="A247" s="455" t="s">
        <v>1161</v>
      </c>
      <c r="C247">
        <f>'2-Earthmoving'!B189</f>
        <v>450</v>
      </c>
      <c r="E247" t="s">
        <v>1162</v>
      </c>
      <c r="G247" s="21">
        <v>375</v>
      </c>
      <c r="H247" t="s">
        <v>1163</v>
      </c>
    </row>
    <row r="248" spans="1:9" x14ac:dyDescent="0.25">
      <c r="A248" s="455" t="s">
        <v>1164</v>
      </c>
      <c r="C248">
        <f>G248</f>
        <v>0.74699999999999989</v>
      </c>
      <c r="E248" t="s">
        <v>1165</v>
      </c>
      <c r="G248" s="21">
        <f>0.75*1.2*0.83</f>
        <v>0.74699999999999989</v>
      </c>
    </row>
    <row r="249" spans="1:9" x14ac:dyDescent="0.25">
      <c r="A249" s="455" t="s">
        <v>1166</v>
      </c>
      <c r="C249">
        <v>0.9</v>
      </c>
      <c r="E249" t="s">
        <v>1167</v>
      </c>
    </row>
    <row r="250" spans="1:9" x14ac:dyDescent="0.25">
      <c r="A250" s="455" t="s">
        <v>1168</v>
      </c>
      <c r="C250">
        <f>C247*C248*C249</f>
        <v>302.53499999999997</v>
      </c>
    </row>
    <row r="251" spans="1:9" x14ac:dyDescent="0.25">
      <c r="A251" s="455" t="s">
        <v>1169</v>
      </c>
      <c r="C251" s="5">
        <f>((10*5.3)+(5.3*(5.3*1.35)))*C246</f>
        <v>743737.87000000011</v>
      </c>
      <c r="F251" t="s">
        <v>593</v>
      </c>
    </row>
    <row r="252" spans="1:9" x14ac:dyDescent="0.25">
      <c r="A252" s="455" t="s">
        <v>1170</v>
      </c>
      <c r="C252" s="5">
        <f>CONVERT(C251,"ft3","yd3")*1.25</f>
        <v>34432.308796296304</v>
      </c>
      <c r="E252" t="s">
        <v>1171</v>
      </c>
      <c r="F252" s="236">
        <f>'Equipment Rates 2025'!$E$7</f>
        <v>92.68</v>
      </c>
      <c r="G252" s="830" t="s">
        <v>537</v>
      </c>
    </row>
    <row r="253" spans="1:9" x14ac:dyDescent="0.25">
      <c r="A253" s="455" t="s">
        <v>1172</v>
      </c>
      <c r="C253" s="398">
        <f>C252/C250</f>
        <v>113.81264579733356</v>
      </c>
      <c r="F253" t="s">
        <v>1173</v>
      </c>
    </row>
    <row r="254" spans="1:9" x14ac:dyDescent="0.25">
      <c r="A254" s="455" t="s">
        <v>1174</v>
      </c>
      <c r="C254" s="493">
        <f>F255</f>
        <v>140.71</v>
      </c>
      <c r="F254" s="399">
        <f>'Labor Rates 2025'!$E$12</f>
        <v>48.03</v>
      </c>
      <c r="G254" s="831" t="s">
        <v>537</v>
      </c>
      <c r="I254" s="21" t="s">
        <v>1175</v>
      </c>
    </row>
    <row r="255" spans="1:9" x14ac:dyDescent="0.25">
      <c r="A255" s="455" t="s">
        <v>809</v>
      </c>
      <c r="C255" s="401">
        <f>C253*C254</f>
        <v>16014.577390142806</v>
      </c>
      <c r="F255" s="239">
        <f>F252+F254</f>
        <v>140.71</v>
      </c>
      <c r="G255" s="830" t="s">
        <v>537</v>
      </c>
      <c r="I255" t="s">
        <v>1176</v>
      </c>
    </row>
    <row r="256" spans="1:9" x14ac:dyDescent="0.25">
      <c r="A256" s="455"/>
      <c r="C256" s="249"/>
      <c r="I256" t="s">
        <v>1177</v>
      </c>
    </row>
    <row r="257" spans="1:9" x14ac:dyDescent="0.25">
      <c r="A257" s="455"/>
      <c r="C257" s="249"/>
      <c r="I257" t="s">
        <v>1178</v>
      </c>
    </row>
    <row r="258" spans="1:9" x14ac:dyDescent="0.25">
      <c r="A258" s="445" t="s">
        <v>1179</v>
      </c>
      <c r="I258" s="21" t="s">
        <v>1180</v>
      </c>
    </row>
    <row r="259" spans="1:9" x14ac:dyDescent="0.25">
      <c r="A259" s="453" t="s">
        <v>1181</v>
      </c>
    </row>
    <row r="260" spans="1:9" x14ac:dyDescent="0.25">
      <c r="A260" s="453" t="s">
        <v>1182</v>
      </c>
      <c r="E260" s="225">
        <v>10</v>
      </c>
    </row>
    <row r="261" spans="1:9" x14ac:dyDescent="0.25">
      <c r="A261" s="453" t="s">
        <v>1183</v>
      </c>
      <c r="E261" s="225">
        <v>20</v>
      </c>
    </row>
    <row r="262" spans="1:9" x14ac:dyDescent="0.25">
      <c r="A262" s="453"/>
      <c r="E262" s="225"/>
    </row>
    <row r="263" spans="1:9" x14ac:dyDescent="0.25">
      <c r="A263" s="455" t="s">
        <v>1184</v>
      </c>
      <c r="C263">
        <v>1.5</v>
      </c>
      <c r="D263" t="s">
        <v>1185</v>
      </c>
    </row>
    <row r="264" spans="1:9" x14ac:dyDescent="0.25">
      <c r="A264" s="455" t="s">
        <v>1186</v>
      </c>
      <c r="C264">
        <f>C234/(E260/60)</f>
        <v>12</v>
      </c>
    </row>
    <row r="265" spans="1:9" x14ac:dyDescent="0.25">
      <c r="A265" s="455" t="s">
        <v>751</v>
      </c>
      <c r="C265">
        <v>1.6</v>
      </c>
    </row>
    <row r="266" spans="1:9" x14ac:dyDescent="0.25">
      <c r="A266" s="455" t="s">
        <v>1187</v>
      </c>
      <c r="C266" s="8">
        <f>C234/(E261/60)</f>
        <v>6</v>
      </c>
    </row>
    <row r="267" spans="1:9" x14ac:dyDescent="0.25">
      <c r="A267" s="455" t="s">
        <v>1188</v>
      </c>
      <c r="C267">
        <v>21.1</v>
      </c>
    </row>
    <row r="268" spans="1:9" x14ac:dyDescent="0.25">
      <c r="A268" s="455" t="s">
        <v>1189</v>
      </c>
      <c r="C268">
        <v>0</v>
      </c>
    </row>
    <row r="269" spans="1:9" x14ac:dyDescent="0.25">
      <c r="A269" s="455" t="s">
        <v>1190</v>
      </c>
      <c r="C269" s="8">
        <v>0</v>
      </c>
      <c r="D269" t="s">
        <v>1191</v>
      </c>
      <c r="E269" t="s">
        <v>1192</v>
      </c>
    </row>
    <row r="270" spans="1:9" x14ac:dyDescent="0.25">
      <c r="A270" s="455" t="s">
        <v>1193</v>
      </c>
      <c r="C270">
        <v>21.1</v>
      </c>
      <c r="D270">
        <f>SUM(C264:C266)</f>
        <v>19.600000000000001</v>
      </c>
      <c r="E270" s="90">
        <f>D270/C263</f>
        <v>13.066666666666668</v>
      </c>
    </row>
    <row r="271" spans="1:9" x14ac:dyDescent="0.25">
      <c r="A271" s="455" t="s">
        <v>1194</v>
      </c>
      <c r="C271" s="11">
        <f>60/C270</f>
        <v>2.8436018957345968</v>
      </c>
    </row>
    <row r="272" spans="1:9" x14ac:dyDescent="0.25">
      <c r="A272" s="455"/>
    </row>
    <row r="273" spans="1:6" x14ac:dyDescent="0.25">
      <c r="A273" s="455" t="s">
        <v>1195</v>
      </c>
      <c r="C273">
        <v>25</v>
      </c>
    </row>
    <row r="274" spans="1:6" x14ac:dyDescent="0.25">
      <c r="A274" s="455" t="s">
        <v>1196</v>
      </c>
      <c r="C274" s="90">
        <f>C273*C271</f>
        <v>71.090047393364912</v>
      </c>
    </row>
    <row r="275" spans="1:6" x14ac:dyDescent="0.25">
      <c r="A275" s="455"/>
    </row>
    <row r="276" spans="1:6" x14ac:dyDescent="0.25">
      <c r="A276" s="455" t="s">
        <v>1197</v>
      </c>
      <c r="C276" s="93">
        <v>5</v>
      </c>
      <c r="D276">
        <v>5</v>
      </c>
      <c r="E276" t="s">
        <v>1198</v>
      </c>
    </row>
    <row r="277" spans="1:6" x14ac:dyDescent="0.25">
      <c r="A277" s="455" t="s">
        <v>1199</v>
      </c>
      <c r="C277">
        <v>0.7</v>
      </c>
    </row>
    <row r="278" spans="1:6" x14ac:dyDescent="0.25">
      <c r="A278" s="455" t="s">
        <v>1200</v>
      </c>
      <c r="C278">
        <v>3.5</v>
      </c>
    </row>
    <row r="279" spans="1:6" x14ac:dyDescent="0.25">
      <c r="A279" s="455" t="s">
        <v>1201</v>
      </c>
      <c r="C279" s="93">
        <v>6.0285714285714294</v>
      </c>
    </row>
    <row r="280" spans="1:6" x14ac:dyDescent="0.25">
      <c r="A280" s="455"/>
    </row>
    <row r="281" spans="1:6" x14ac:dyDescent="0.25">
      <c r="A281" s="455" t="s">
        <v>1202</v>
      </c>
      <c r="C281" s="259">
        <f>(C279*C273)/C270</f>
        <v>7.1428571428571423</v>
      </c>
    </row>
    <row r="282" spans="1:6" x14ac:dyDescent="0.25">
      <c r="A282" s="455" t="s">
        <v>1203</v>
      </c>
      <c r="C282" s="93">
        <f>C281*60</f>
        <v>428.57142857142856</v>
      </c>
    </row>
    <row r="283" spans="1:6" x14ac:dyDescent="0.25">
      <c r="A283" s="455" t="s">
        <v>1204</v>
      </c>
      <c r="C283">
        <v>0.83</v>
      </c>
    </row>
    <row r="284" spans="1:6" x14ac:dyDescent="0.25">
      <c r="A284" s="455" t="s">
        <v>1166</v>
      </c>
      <c r="C284">
        <v>0.9</v>
      </c>
    </row>
    <row r="285" spans="1:6" x14ac:dyDescent="0.25">
      <c r="A285" s="455" t="s">
        <v>1205</v>
      </c>
      <c r="C285" s="90">
        <f>C282*C283*C284</f>
        <v>320.14285714285711</v>
      </c>
    </row>
    <row r="286" spans="1:6" x14ac:dyDescent="0.25">
      <c r="A286" s="455" t="s">
        <v>1206</v>
      </c>
      <c r="C286" s="90">
        <f>C230/C285</f>
        <v>585.67603748326644</v>
      </c>
    </row>
    <row r="287" spans="1:6" x14ac:dyDescent="0.25">
      <c r="A287" s="455"/>
    </row>
    <row r="288" spans="1:6" x14ac:dyDescent="0.25">
      <c r="A288" s="455"/>
      <c r="B288" s="1" t="s">
        <v>1207</v>
      </c>
      <c r="C288" s="1" t="s">
        <v>1208</v>
      </c>
      <c r="D288" s="260" t="s">
        <v>1209</v>
      </c>
      <c r="E288" s="261" t="s">
        <v>1210</v>
      </c>
      <c r="F288" s="262" t="s">
        <v>1211</v>
      </c>
    </row>
    <row r="289" spans="1:8" x14ac:dyDescent="0.25">
      <c r="A289" s="455" t="s">
        <v>1212</v>
      </c>
      <c r="B289" s="260">
        <v>2</v>
      </c>
      <c r="C289" s="1">
        <v>374</v>
      </c>
      <c r="D289" s="619">
        <f>'Equipment Rates 2025'!E19+'Labor Rates 2025'!$E$12</f>
        <v>296.53999999999996</v>
      </c>
      <c r="E289" s="283">
        <f>B289*C286</f>
        <v>1171.3520749665329</v>
      </c>
      <c r="F289" s="197">
        <f>D289*E289</f>
        <v>347352.7443105756</v>
      </c>
      <c r="H289" t="s">
        <v>1213</v>
      </c>
    </row>
    <row r="290" spans="1:8" x14ac:dyDescent="0.25">
      <c r="A290" s="455" t="s">
        <v>1214</v>
      </c>
      <c r="B290" s="260">
        <v>6.0285714285714294</v>
      </c>
      <c r="C290" s="260" t="s">
        <v>1215</v>
      </c>
      <c r="D290" s="619">
        <f>'Equipment Rates 2025'!$E$50+'Labor Rates 2025'!$E$12</f>
        <v>125.92</v>
      </c>
      <c r="E290" s="283">
        <f>B290*C286</f>
        <v>3530.7898259705494</v>
      </c>
      <c r="F290" s="197">
        <f>D290*E290</f>
        <v>444597.05488621158</v>
      </c>
    </row>
    <row r="291" spans="1:8" x14ac:dyDescent="0.25">
      <c r="A291" s="455" t="s">
        <v>1216</v>
      </c>
      <c r="B291" s="263">
        <v>1</v>
      </c>
      <c r="C291" s="264" t="s">
        <v>1217</v>
      </c>
      <c r="D291" s="620">
        <f>'Equipment Rates 2025'!$E$7+'Labor Rates 2025'!$E$12</f>
        <v>140.71</v>
      </c>
      <c r="E291" s="265">
        <f>C286*B291</f>
        <v>585.67603748326644</v>
      </c>
      <c r="F291" s="400">
        <f>D291*E291</f>
        <v>82410.475234270431</v>
      </c>
    </row>
    <row r="292" spans="1:8" x14ac:dyDescent="0.25">
      <c r="A292" s="455" t="s">
        <v>1218</v>
      </c>
      <c r="B292" s="260">
        <v>9.0285714285714285</v>
      </c>
      <c r="C292" s="260"/>
      <c r="D292" s="278"/>
      <c r="E292" s="283">
        <f>SUM(E289:E291)</f>
        <v>5287.8179384203486</v>
      </c>
      <c r="F292" s="194">
        <f>SUM(F289:F291)</f>
        <v>874360.27443105762</v>
      </c>
    </row>
    <row r="294" spans="1:8" x14ac:dyDescent="0.25">
      <c r="F294" s="249"/>
    </row>
    <row r="295" spans="1:8" s="3" customFormat="1" ht="18.75" x14ac:dyDescent="0.3">
      <c r="A295" s="26" t="s">
        <v>1219</v>
      </c>
      <c r="B295" s="404"/>
      <c r="C295" s="404"/>
      <c r="D295" s="26"/>
      <c r="E295" s="26"/>
      <c r="F295" s="405">
        <f>C239+C243+C255+F292</f>
        <v>3448167.3518212005</v>
      </c>
      <c r="G295" s="45"/>
    </row>
    <row r="300" spans="1:8" x14ac:dyDescent="0.25">
      <c r="A300" s="26" t="s">
        <v>1802</v>
      </c>
      <c r="B300" s="26"/>
      <c r="C300" s="26"/>
      <c r="D300" s="30"/>
      <c r="E300" s="30"/>
      <c r="F300" s="30"/>
    </row>
    <row r="305" spans="1:8" x14ac:dyDescent="0.25">
      <c r="A305" s="178"/>
    </row>
    <row r="314" spans="1:8" x14ac:dyDescent="0.25">
      <c r="D314" t="s">
        <v>1083</v>
      </c>
      <c r="E314" t="s">
        <v>1084</v>
      </c>
    </row>
    <row r="315" spans="1:8" x14ac:dyDescent="0.25">
      <c r="B315" t="s">
        <v>1085</v>
      </c>
      <c r="D315" s="238">
        <f>'Labor Rates 2025'!$D$59</f>
        <v>230.55</v>
      </c>
      <c r="E315" s="219">
        <f t="shared" ref="E315:E320" si="0">D315*2080</f>
        <v>479544</v>
      </c>
      <c r="F315" s="217"/>
      <c r="G315" s="832"/>
    </row>
    <row r="316" spans="1:8" x14ac:dyDescent="0.25">
      <c r="B316" t="s">
        <v>1086</v>
      </c>
      <c r="D316" s="238">
        <f>'Labor Rates 2025'!$D$60</f>
        <v>186.79</v>
      </c>
      <c r="E316" s="219">
        <f t="shared" si="0"/>
        <v>388523.2</v>
      </c>
      <c r="G316" s="832"/>
    </row>
    <row r="317" spans="1:8" x14ac:dyDescent="0.25">
      <c r="B317" t="s">
        <v>1329</v>
      </c>
      <c r="C317" t="s">
        <v>1898</v>
      </c>
      <c r="D317" s="490">
        <f>'Labor Rates 2025'!$D$65</f>
        <v>40</v>
      </c>
      <c r="E317" s="219">
        <f>D317*2080</f>
        <v>83200</v>
      </c>
    </row>
    <row r="318" spans="1:8" x14ac:dyDescent="0.25">
      <c r="B318" t="s">
        <v>1088</v>
      </c>
      <c r="D318" s="238">
        <f>'Labor Rates 2025'!$D$61</f>
        <v>82.66</v>
      </c>
      <c r="E318" s="219">
        <f t="shared" si="0"/>
        <v>171932.79999999999</v>
      </c>
      <c r="H318" s="35"/>
    </row>
    <row r="319" spans="1:8" x14ac:dyDescent="0.25">
      <c r="A319" s="266"/>
      <c r="B319" t="s">
        <v>1328</v>
      </c>
      <c r="C319" t="s">
        <v>1898</v>
      </c>
      <c r="D319" s="238">
        <f>'Labor Rates 2025'!$D$64</f>
        <v>39.51</v>
      </c>
      <c r="E319" s="219">
        <f t="shared" si="0"/>
        <v>82180.800000000003</v>
      </c>
      <c r="H319" s="35"/>
    </row>
    <row r="320" spans="1:8" x14ac:dyDescent="0.25">
      <c r="A320" s="266"/>
      <c r="B320" s="271" t="s">
        <v>1090</v>
      </c>
      <c r="C320" s="8"/>
      <c r="D320" s="491">
        <f>'Labor Rates 2025'!$D$63</f>
        <v>51</v>
      </c>
      <c r="E320" s="268">
        <f t="shared" si="0"/>
        <v>106080</v>
      </c>
    </row>
    <row r="321" spans="1:7" x14ac:dyDescent="0.25">
      <c r="A321" s="225"/>
      <c r="B321" s="1"/>
      <c r="E321" s="217"/>
    </row>
    <row r="323" spans="1:7" x14ac:dyDescent="0.25">
      <c r="A323" t="s">
        <v>1092</v>
      </c>
    </row>
    <row r="324" spans="1:7" ht="45" x14ac:dyDescent="0.25">
      <c r="C324" t="s">
        <v>1093</v>
      </c>
      <c r="D324" t="s">
        <v>1084</v>
      </c>
      <c r="E324" s="248" t="s">
        <v>1094</v>
      </c>
    </row>
    <row r="325" spans="1:7" x14ac:dyDescent="0.25">
      <c r="B325" t="s">
        <v>1095</v>
      </c>
      <c r="C325" s="1">
        <v>0.5</v>
      </c>
      <c r="D325" s="494">
        <f t="shared" ref="D325:D330" si="1">E315</f>
        <v>479544</v>
      </c>
      <c r="E325" s="217">
        <f t="shared" ref="E325:E330" si="2">D325*C325</f>
        <v>239772</v>
      </c>
    </row>
    <row r="326" spans="1:7" x14ac:dyDescent="0.25">
      <c r="B326" t="s">
        <v>1086</v>
      </c>
      <c r="C326" s="1">
        <v>1</v>
      </c>
      <c r="D326" s="494">
        <f t="shared" si="1"/>
        <v>388523.2</v>
      </c>
      <c r="E326" s="217">
        <f t="shared" si="2"/>
        <v>388523.2</v>
      </c>
    </row>
    <row r="327" spans="1:7" x14ac:dyDescent="0.25">
      <c r="B327" t="s">
        <v>1087</v>
      </c>
      <c r="C327" s="1">
        <v>1</v>
      </c>
      <c r="D327" s="494">
        <f>E317*2</f>
        <v>166400</v>
      </c>
      <c r="E327" s="217">
        <f>D327*C327</f>
        <v>166400</v>
      </c>
    </row>
    <row r="328" spans="1:7" x14ac:dyDescent="0.25">
      <c r="B328" t="s">
        <v>1088</v>
      </c>
      <c r="C328" s="1">
        <v>1</v>
      </c>
      <c r="D328" s="494">
        <f t="shared" si="1"/>
        <v>171932.79999999999</v>
      </c>
      <c r="E328" s="217">
        <f t="shared" si="2"/>
        <v>171932.79999999999</v>
      </c>
    </row>
    <row r="329" spans="1:7" x14ac:dyDescent="0.25">
      <c r="B329" t="s">
        <v>1089</v>
      </c>
      <c r="C329" s="1">
        <v>0.5</v>
      </c>
      <c r="D329" s="494">
        <f>E319*2</f>
        <v>164361.60000000001</v>
      </c>
      <c r="E329" s="217">
        <f t="shared" si="2"/>
        <v>82180.800000000003</v>
      </c>
    </row>
    <row r="330" spans="1:7" x14ac:dyDescent="0.25">
      <c r="B330" s="73" t="s">
        <v>1090</v>
      </c>
      <c r="C330" s="1">
        <v>0.25</v>
      </c>
      <c r="D330" s="495">
        <f t="shared" si="1"/>
        <v>106080</v>
      </c>
      <c r="E330" s="496">
        <f t="shared" si="2"/>
        <v>26520</v>
      </c>
    </row>
    <row r="331" spans="1:7" x14ac:dyDescent="0.25">
      <c r="D331" s="217" t="s">
        <v>1096</v>
      </c>
      <c r="E331" s="218">
        <f>SUM(E325:E330)</f>
        <v>1075328.8</v>
      </c>
    </row>
    <row r="333" spans="1:7" x14ac:dyDescent="0.25">
      <c r="A333" t="s">
        <v>1097</v>
      </c>
      <c r="E333" t="s">
        <v>1098</v>
      </c>
    </row>
    <row r="334" spans="1:7" x14ac:dyDescent="0.25">
      <c r="B334" t="s">
        <v>1099</v>
      </c>
      <c r="E334" s="579">
        <f>(980*12)*4</f>
        <v>47040</v>
      </c>
      <c r="G334" s="21" t="s">
        <v>1812</v>
      </c>
    </row>
    <row r="335" spans="1:7" x14ac:dyDescent="0.25">
      <c r="B335" t="s">
        <v>1944</v>
      </c>
      <c r="E335" s="579">
        <f>6680*6</f>
        <v>40080</v>
      </c>
      <c r="F335" t="s">
        <v>1955</v>
      </c>
      <c r="G335" s="21" t="s">
        <v>1946</v>
      </c>
    </row>
    <row r="336" spans="1:7" x14ac:dyDescent="0.25">
      <c r="B336" t="s">
        <v>1953</v>
      </c>
      <c r="E336" s="579">
        <f>29400*1</f>
        <v>29400</v>
      </c>
      <c r="F336" t="s">
        <v>1954</v>
      </c>
      <c r="G336" s="21" t="s">
        <v>1945</v>
      </c>
    </row>
    <row r="337" spans="1:7" x14ac:dyDescent="0.25">
      <c r="B337" t="s">
        <v>1100</v>
      </c>
      <c r="E337" s="622">
        <f>1881*12</f>
        <v>22572</v>
      </c>
      <c r="F337" s="656"/>
      <c r="G337" s="833" t="s">
        <v>1957</v>
      </c>
    </row>
    <row r="338" spans="1:7" x14ac:dyDescent="0.25">
      <c r="B338" t="s">
        <v>1101</v>
      </c>
      <c r="E338" s="580">
        <v>60000</v>
      </c>
      <c r="F338" s="196"/>
    </row>
    <row r="339" spans="1:7" ht="17.25" x14ac:dyDescent="0.4">
      <c r="B339" t="s">
        <v>1102</v>
      </c>
      <c r="E339" s="581">
        <v>10000</v>
      </c>
      <c r="F339" s="269"/>
    </row>
    <row r="340" spans="1:7" x14ac:dyDescent="0.25">
      <c r="B340" s="18" t="s">
        <v>1103</v>
      </c>
      <c r="C340" s="3"/>
      <c r="D340" s="3"/>
      <c r="E340" s="582">
        <f>SUM(E334:E339)</f>
        <v>209092</v>
      </c>
      <c r="F340" s="219"/>
    </row>
    <row r="341" spans="1:7" x14ac:dyDescent="0.25">
      <c r="A341" s="167"/>
      <c r="E341" s="270"/>
      <c r="F341" s="219"/>
    </row>
    <row r="342" spans="1:7" ht="18.75" x14ac:dyDescent="0.3">
      <c r="A342" s="26" t="s">
        <v>1104</v>
      </c>
      <c r="B342" s="30"/>
      <c r="C342" s="30"/>
      <c r="D342" s="30"/>
      <c r="E342" s="30"/>
      <c r="F342" s="422">
        <f>E331+E340</f>
        <v>1284420.8</v>
      </c>
    </row>
    <row r="345" spans="1:7" ht="18.75" x14ac:dyDescent="0.3">
      <c r="A345" s="26" t="s">
        <v>1967</v>
      </c>
      <c r="B345" s="404"/>
      <c r="C345" s="404"/>
      <c r="D345" s="404"/>
      <c r="E345" s="404"/>
      <c r="F345" s="30"/>
    </row>
    <row r="346" spans="1:7" ht="18.75" x14ac:dyDescent="0.3">
      <c r="A346" s="423"/>
      <c r="B346" s="423"/>
      <c r="C346" s="423"/>
      <c r="D346" s="423"/>
      <c r="E346" s="423"/>
    </row>
    <row r="350" spans="1:7" x14ac:dyDescent="0.25">
      <c r="A350" s="178"/>
    </row>
    <row r="357" spans="1:6" x14ac:dyDescent="0.25">
      <c r="D357" t="s">
        <v>1083</v>
      </c>
      <c r="E357" t="s">
        <v>1084</v>
      </c>
    </row>
    <row r="358" spans="1:6" x14ac:dyDescent="0.25">
      <c r="B358" t="s">
        <v>1085</v>
      </c>
      <c r="D358" s="238">
        <f>'Labor Rates 2025'!$D$59</f>
        <v>230.55</v>
      </c>
      <c r="E358" s="219">
        <f t="shared" ref="E358:E363" si="3">D358*2080</f>
        <v>479544</v>
      </c>
      <c r="F358" s="217"/>
    </row>
    <row r="359" spans="1:6" x14ac:dyDescent="0.25">
      <c r="B359" t="s">
        <v>1086</v>
      </c>
      <c r="D359" s="238">
        <f>'Labor Rates 2025'!$D$60</f>
        <v>186.79</v>
      </c>
      <c r="E359" s="219">
        <f t="shared" si="3"/>
        <v>388523.2</v>
      </c>
    </row>
    <row r="360" spans="1:6" x14ac:dyDescent="0.25">
      <c r="B360" t="s">
        <v>1329</v>
      </c>
      <c r="C360" t="s">
        <v>1898</v>
      </c>
      <c r="D360" s="490">
        <f>'Labor Rates 2025'!$D$65</f>
        <v>40</v>
      </c>
      <c r="E360" s="219">
        <f t="shared" si="3"/>
        <v>83200</v>
      </c>
    </row>
    <row r="361" spans="1:6" x14ac:dyDescent="0.25">
      <c r="B361" t="s">
        <v>1088</v>
      </c>
      <c r="D361" s="238">
        <f>'Labor Rates 2025'!$D$61</f>
        <v>82.66</v>
      </c>
      <c r="E361" s="219">
        <f t="shared" si="3"/>
        <v>171932.79999999999</v>
      </c>
    </row>
    <row r="362" spans="1:6" x14ac:dyDescent="0.25">
      <c r="A362" s="266"/>
      <c r="B362" t="s">
        <v>1328</v>
      </c>
      <c r="C362" t="s">
        <v>1898</v>
      </c>
      <c r="D362" s="238">
        <f>'Labor Rates 2025'!$D$64</f>
        <v>39.51</v>
      </c>
      <c r="E362" s="219">
        <f t="shared" si="3"/>
        <v>82180.800000000003</v>
      </c>
    </row>
    <row r="363" spans="1:6" x14ac:dyDescent="0.25">
      <c r="A363" s="266"/>
      <c r="B363" s="271" t="s">
        <v>1090</v>
      </c>
      <c r="C363" s="8"/>
      <c r="D363" s="491">
        <f>'Labor Rates 2025'!$D$63</f>
        <v>51</v>
      </c>
      <c r="E363" s="268">
        <f t="shared" si="3"/>
        <v>106080</v>
      </c>
    </row>
    <row r="364" spans="1:6" x14ac:dyDescent="0.25">
      <c r="A364" s="225" t="s">
        <v>1091</v>
      </c>
      <c r="B364" s="1">
        <v>8</v>
      </c>
      <c r="E364" s="217">
        <f>SUM(E358:E363)</f>
        <v>1311460.8</v>
      </c>
    </row>
    <row r="366" spans="1:6" x14ac:dyDescent="0.25">
      <c r="A366" t="s">
        <v>1092</v>
      </c>
    </row>
    <row r="367" spans="1:6" ht="45" x14ac:dyDescent="0.25">
      <c r="C367" t="s">
        <v>1105</v>
      </c>
      <c r="D367" t="s">
        <v>1084</v>
      </c>
      <c r="E367" s="248" t="s">
        <v>1798</v>
      </c>
    </row>
    <row r="368" spans="1:6" x14ac:dyDescent="0.25">
      <c r="B368" t="s">
        <v>1095</v>
      </c>
      <c r="C368" s="1">
        <v>0.5</v>
      </c>
      <c r="D368" s="494">
        <f t="shared" ref="D368:D373" si="4">E358</f>
        <v>479544</v>
      </c>
      <c r="E368" s="217">
        <f t="shared" ref="E368:E373" si="5">D368*C368</f>
        <v>239772</v>
      </c>
    </row>
    <row r="369" spans="1:7" x14ac:dyDescent="0.25">
      <c r="B369" t="s">
        <v>1086</v>
      </c>
      <c r="C369" s="1">
        <v>1</v>
      </c>
      <c r="D369" s="494">
        <f t="shared" si="4"/>
        <v>388523.2</v>
      </c>
      <c r="E369" s="217">
        <f t="shared" si="5"/>
        <v>388523.2</v>
      </c>
    </row>
    <row r="370" spans="1:7" x14ac:dyDescent="0.25">
      <c r="B370" t="s">
        <v>1087</v>
      </c>
      <c r="C370" s="1">
        <v>1</v>
      </c>
      <c r="D370" s="494">
        <f>E360*2</f>
        <v>166400</v>
      </c>
      <c r="E370" s="217">
        <f>D370*C370</f>
        <v>166400</v>
      </c>
    </row>
    <row r="371" spans="1:7" x14ac:dyDescent="0.25">
      <c r="B371" t="s">
        <v>1088</v>
      </c>
      <c r="C371" s="1">
        <v>1</v>
      </c>
      <c r="D371" s="494">
        <f t="shared" si="4"/>
        <v>171932.79999999999</v>
      </c>
      <c r="E371" s="217">
        <f t="shared" si="5"/>
        <v>171932.79999999999</v>
      </c>
    </row>
    <row r="372" spans="1:7" x14ac:dyDescent="0.25">
      <c r="B372" t="s">
        <v>1089</v>
      </c>
      <c r="C372" s="1">
        <v>0.5</v>
      </c>
      <c r="D372" s="494">
        <f>E362*2</f>
        <v>164361.60000000001</v>
      </c>
      <c r="E372" s="217">
        <f>D372*C372</f>
        <v>82180.800000000003</v>
      </c>
    </row>
    <row r="373" spans="1:7" x14ac:dyDescent="0.25">
      <c r="B373" s="73" t="s">
        <v>1090</v>
      </c>
      <c r="C373" s="1">
        <v>0.25</v>
      </c>
      <c r="D373" s="495">
        <f t="shared" si="4"/>
        <v>106080</v>
      </c>
      <c r="E373" s="496">
        <f t="shared" si="5"/>
        <v>26520</v>
      </c>
    </row>
    <row r="374" spans="1:7" x14ac:dyDescent="0.25">
      <c r="D374" s="217" t="s">
        <v>1096</v>
      </c>
      <c r="E374" s="218">
        <f>SUM(E368:E373)</f>
        <v>1075328.8</v>
      </c>
    </row>
    <row r="375" spans="1:7" x14ac:dyDescent="0.25">
      <c r="E375" s="163"/>
    </row>
    <row r="376" spans="1:7" ht="27.6" customHeight="1" x14ac:dyDescent="0.25">
      <c r="A376" t="s">
        <v>1097</v>
      </c>
      <c r="E376" s="248" t="s">
        <v>1098</v>
      </c>
    </row>
    <row r="377" spans="1:7" x14ac:dyDescent="0.25">
      <c r="B377" t="s">
        <v>1099</v>
      </c>
      <c r="E377" s="618">
        <f>(980*12)*4</f>
        <v>47040</v>
      </c>
      <c r="G377" s="21" t="s">
        <v>1812</v>
      </c>
    </row>
    <row r="378" spans="1:7" x14ac:dyDescent="0.25">
      <c r="B378" t="s">
        <v>1944</v>
      </c>
      <c r="E378" s="579">
        <f>6680*6</f>
        <v>40080</v>
      </c>
      <c r="F378" t="s">
        <v>1955</v>
      </c>
      <c r="G378" s="21" t="s">
        <v>1946</v>
      </c>
    </row>
    <row r="379" spans="1:7" x14ac:dyDescent="0.25">
      <c r="B379" t="s">
        <v>1953</v>
      </c>
      <c r="E379" s="579">
        <f>29400*1</f>
        <v>29400</v>
      </c>
      <c r="F379" t="s">
        <v>1954</v>
      </c>
      <c r="G379" s="21" t="s">
        <v>1945</v>
      </c>
    </row>
    <row r="380" spans="1:7" x14ac:dyDescent="0.25">
      <c r="B380" t="s">
        <v>1100</v>
      </c>
      <c r="E380" s="622">
        <f>1881*12</f>
        <v>22572</v>
      </c>
      <c r="F380" s="656"/>
      <c r="G380" s="833" t="s">
        <v>1957</v>
      </c>
    </row>
    <row r="381" spans="1:7" x14ac:dyDescent="0.25">
      <c r="B381" t="s">
        <v>1101</v>
      </c>
      <c r="E381" s="616">
        <v>60000</v>
      </c>
      <c r="F381" s="196"/>
    </row>
    <row r="382" spans="1:7" ht="17.25" x14ac:dyDescent="0.4">
      <c r="B382" t="s">
        <v>1102</v>
      </c>
      <c r="E382" s="581">
        <v>10000</v>
      </c>
      <c r="F382" s="269"/>
    </row>
    <row r="383" spans="1:7" x14ac:dyDescent="0.25">
      <c r="B383" s="167" t="s">
        <v>1103</v>
      </c>
      <c r="C383" s="3"/>
      <c r="D383" s="3"/>
      <c r="E383" s="617">
        <f>SUM(E377:E382)</f>
        <v>209092</v>
      </c>
      <c r="F383" s="219"/>
    </row>
    <row r="384" spans="1:7" x14ac:dyDescent="0.25">
      <c r="A384" s="167"/>
      <c r="E384" s="418"/>
      <c r="F384" s="219"/>
      <c r="G384" s="834"/>
    </row>
    <row r="385" spans="1:7" ht="18.75" x14ac:dyDescent="0.3">
      <c r="A385" s="26" t="s">
        <v>1851</v>
      </c>
      <c r="B385" s="30"/>
      <c r="C385" s="30"/>
      <c r="D385" s="30"/>
      <c r="E385" s="30"/>
      <c r="F385" s="422">
        <f>E374+E383</f>
        <v>1284420.8</v>
      </c>
      <c r="G385" s="835"/>
    </row>
    <row r="386" spans="1:7" x14ac:dyDescent="0.25">
      <c r="G386" s="820"/>
    </row>
    <row r="389" spans="1:7" x14ac:dyDescent="0.25">
      <c r="A389" s="26" t="s">
        <v>1854</v>
      </c>
      <c r="B389" s="30"/>
      <c r="C389" s="30"/>
      <c r="D389" s="30"/>
      <c r="E389" s="30"/>
      <c r="F389" s="30"/>
    </row>
    <row r="406" spans="1:8" x14ac:dyDescent="0.25">
      <c r="A406" s="719" t="s">
        <v>910</v>
      </c>
      <c r="B406" s="188"/>
      <c r="C406" s="188"/>
      <c r="D406" s="73"/>
      <c r="E406" s="73"/>
      <c r="F406" s="73"/>
      <c r="G406" s="21" t="s">
        <v>1902</v>
      </c>
    </row>
    <row r="407" spans="1:8" x14ac:dyDescent="0.25">
      <c r="A407" s="454" t="s">
        <v>911</v>
      </c>
      <c r="B407" s="232">
        <f>'AcreageTracking-MAP'!$G$87</f>
        <v>50.792273968468322</v>
      </c>
      <c r="C407" s="73" t="s">
        <v>1220</v>
      </c>
      <c r="D407" s="73"/>
      <c r="E407" s="73"/>
      <c r="F407" s="73"/>
      <c r="G407" s="902">
        <f>B407/28</f>
        <v>1.8140097845881544</v>
      </c>
      <c r="H407" t="s">
        <v>366</v>
      </c>
    </row>
    <row r="408" spans="1:8" x14ac:dyDescent="0.25">
      <c r="A408" s="454" t="s">
        <v>913</v>
      </c>
      <c r="B408" s="232">
        <f>'AcreageTracking-MAP'!$G$86</f>
        <v>251.61256680042791</v>
      </c>
      <c r="C408" s="73" t="s">
        <v>914</v>
      </c>
      <c r="D408" s="73"/>
      <c r="E408" s="73"/>
      <c r="F408" s="73"/>
      <c r="G408" s="902">
        <f>B408/28</f>
        <v>8.9861631000152826</v>
      </c>
      <c r="H408" t="s">
        <v>366</v>
      </c>
    </row>
    <row r="409" spans="1:8" x14ac:dyDescent="0.25">
      <c r="A409" s="454"/>
      <c r="B409" s="232"/>
      <c r="C409" s="73"/>
      <c r="D409" s="73"/>
      <c r="E409" s="73"/>
      <c r="F409" s="73"/>
      <c r="G409" s="902"/>
    </row>
    <row r="410" spans="1:8" x14ac:dyDescent="0.25">
      <c r="A410" s="188"/>
      <c r="B410" s="188"/>
      <c r="C410" s="805" t="s">
        <v>2162</v>
      </c>
      <c r="D410" s="805" t="s">
        <v>2162</v>
      </c>
      <c r="E410" s="73"/>
      <c r="F410" s="73"/>
    </row>
    <row r="411" spans="1:8" ht="45" x14ac:dyDescent="0.25">
      <c r="A411" s="359" t="s">
        <v>915</v>
      </c>
      <c r="B411" s="884" t="s">
        <v>1912</v>
      </c>
      <c r="C411" s="885" t="s">
        <v>916</v>
      </c>
      <c r="D411" s="885" t="s">
        <v>917</v>
      </c>
      <c r="E411" s="885" t="s">
        <v>918</v>
      </c>
      <c r="F411" s="73"/>
    </row>
    <row r="412" spans="1:8" x14ac:dyDescent="0.25">
      <c r="A412" s="225" t="s">
        <v>919</v>
      </c>
      <c r="B412" s="507" t="s">
        <v>1909</v>
      </c>
      <c r="C412" s="530">
        <f>'AcreageTracking-MAP'!G82</f>
        <v>735.55016220001869</v>
      </c>
      <c r="D412" s="73">
        <v>0</v>
      </c>
      <c r="E412" s="73">
        <v>0</v>
      </c>
      <c r="F412" s="73" t="s">
        <v>2083</v>
      </c>
    </row>
    <row r="413" spans="1:8" x14ac:dyDescent="0.25">
      <c r="A413" s="225"/>
      <c r="B413" s="886" t="s">
        <v>1910</v>
      </c>
      <c r="C413" s="85">
        <f>C412+D413</f>
        <v>780.48097770009508</v>
      </c>
      <c r="D413" s="92">
        <f>$G$408*5</f>
        <v>44.930815500076413</v>
      </c>
      <c r="E413" s="92">
        <f>$G$407*5</f>
        <v>9.0700489229407726</v>
      </c>
      <c r="F413" s="73" t="s">
        <v>2167</v>
      </c>
    </row>
    <row r="414" spans="1:8" x14ac:dyDescent="0.25">
      <c r="A414" s="225"/>
      <c r="B414" s="887" t="s">
        <v>1911</v>
      </c>
      <c r="C414" s="85">
        <f t="shared" ref="C414:C418" si="6">C413+D414</f>
        <v>825.41179320017147</v>
      </c>
      <c r="D414" s="92">
        <f>$G$408*5</f>
        <v>44.930815500076413</v>
      </c>
      <c r="E414" s="92">
        <f>$G$407*5</f>
        <v>9.0700489229407726</v>
      </c>
      <c r="F414" s="73" t="s">
        <v>2160</v>
      </c>
    </row>
    <row r="415" spans="1:8" x14ac:dyDescent="0.25">
      <c r="A415" s="225"/>
      <c r="B415" s="887" t="s">
        <v>1913</v>
      </c>
      <c r="C415" s="85">
        <f t="shared" si="6"/>
        <v>870.34260870024787</v>
      </c>
      <c r="D415" s="92">
        <f>$G$408*5</f>
        <v>44.930815500076413</v>
      </c>
      <c r="E415" s="92">
        <f>$G$407*5</f>
        <v>9.0700489229407726</v>
      </c>
      <c r="F415" s="73" t="s">
        <v>2161</v>
      </c>
    </row>
    <row r="416" spans="1:8" x14ac:dyDescent="0.25">
      <c r="A416" s="225"/>
      <c r="B416" s="887" t="s">
        <v>1914</v>
      </c>
      <c r="C416" s="85">
        <f t="shared" si="6"/>
        <v>915.27342420032426</v>
      </c>
      <c r="D416" s="92">
        <f>$G$408*5</f>
        <v>44.930815500076413</v>
      </c>
      <c r="E416" s="92">
        <f>$G$407*5</f>
        <v>9.0700489229407726</v>
      </c>
      <c r="F416" s="73"/>
    </row>
    <row r="417" spans="1:10" x14ac:dyDescent="0.25">
      <c r="A417" s="225"/>
      <c r="B417" s="887" t="s">
        <v>1915</v>
      </c>
      <c r="C417" s="85">
        <f t="shared" si="6"/>
        <v>960.20423970040065</v>
      </c>
      <c r="D417" s="92">
        <f>$G$408*5</f>
        <v>44.930815500076413</v>
      </c>
      <c r="E417" s="92">
        <f>$G$407*5</f>
        <v>9.0700489229407726</v>
      </c>
      <c r="F417" s="73"/>
    </row>
    <row r="418" spans="1:10" x14ac:dyDescent="0.25">
      <c r="A418" s="225" t="s">
        <v>920</v>
      </c>
      <c r="B418" s="888" t="s">
        <v>1916</v>
      </c>
      <c r="C418" s="889">
        <f t="shared" si="6"/>
        <v>987.16272900044646</v>
      </c>
      <c r="D418" s="890">
        <f>$G$408*3</f>
        <v>26.958489300045848</v>
      </c>
      <c r="E418" s="890">
        <f>$G$407*3</f>
        <v>5.4420293537644628</v>
      </c>
      <c r="F418" s="73"/>
    </row>
    <row r="419" spans="1:10" x14ac:dyDescent="0.25">
      <c r="B419" s="73"/>
      <c r="C419" s="77" t="s">
        <v>809</v>
      </c>
      <c r="D419" s="92">
        <f>SUM(D412:D418)</f>
        <v>251.61256680042791</v>
      </c>
      <c r="E419" s="92">
        <f>SUM(E412:E418)</f>
        <v>50.792273968468322</v>
      </c>
      <c r="F419" s="73"/>
      <c r="H419" s="188"/>
      <c r="I419" s="3"/>
      <c r="J419" s="3"/>
    </row>
    <row r="420" spans="1:10" x14ac:dyDescent="0.25">
      <c r="B420" s="73"/>
      <c r="C420" s="73"/>
      <c r="D420" s="73"/>
      <c r="E420" s="73"/>
      <c r="F420" s="73"/>
    </row>
    <row r="421" spans="1:10" x14ac:dyDescent="0.25">
      <c r="B421" s="73"/>
      <c r="C421" s="73"/>
      <c r="D421" s="73"/>
      <c r="E421" s="73"/>
      <c r="F421" s="73"/>
    </row>
    <row r="422" spans="1:10" x14ac:dyDescent="0.25">
      <c r="A422" s="445" t="s">
        <v>1221</v>
      </c>
      <c r="B422" s="657">
        <v>334866</v>
      </c>
      <c r="C422" s="73"/>
      <c r="D422" s="73" t="s">
        <v>1222</v>
      </c>
      <c r="E422" s="73"/>
      <c r="F422" s="73"/>
    </row>
    <row r="423" spans="1:10" x14ac:dyDescent="0.25">
      <c r="B423" s="73"/>
      <c r="C423" s="73"/>
      <c r="D423" s="73"/>
      <c r="E423" s="73"/>
      <c r="F423" s="73"/>
    </row>
    <row r="424" spans="1:10" x14ac:dyDescent="0.25">
      <c r="A424" s="445" t="s">
        <v>1223</v>
      </c>
      <c r="B424" s="73"/>
      <c r="C424" s="73"/>
      <c r="D424" s="658" t="s">
        <v>2082</v>
      </c>
      <c r="E424" s="73"/>
      <c r="F424" s="73"/>
    </row>
    <row r="425" spans="1:10" x14ac:dyDescent="0.25">
      <c r="A425" s="460" t="s">
        <v>1224</v>
      </c>
      <c r="B425" s="85">
        <f>C412</f>
        <v>735.55016220001869</v>
      </c>
      <c r="C425" s="73"/>
      <c r="D425" s="73" t="s">
        <v>1225</v>
      </c>
      <c r="E425" s="73"/>
      <c r="F425" s="73"/>
    </row>
    <row r="426" spans="1:10" x14ac:dyDescent="0.25">
      <c r="A426" s="460" t="s">
        <v>1226</v>
      </c>
      <c r="B426" s="85">
        <v>4</v>
      </c>
      <c r="C426" s="73"/>
      <c r="D426" s="658" t="s">
        <v>1227</v>
      </c>
      <c r="E426" s="73"/>
      <c r="F426" s="73"/>
    </row>
    <row r="427" spans="1:10" x14ac:dyDescent="0.25">
      <c r="A427" s="460" t="s">
        <v>1228</v>
      </c>
      <c r="B427" s="85">
        <f>(B425/B426)</f>
        <v>183.88754055000467</v>
      </c>
      <c r="C427" s="73"/>
      <c r="D427" s="73" t="s">
        <v>1229</v>
      </c>
      <c r="E427" s="73"/>
      <c r="F427" s="73"/>
    </row>
    <row r="428" spans="1:10" x14ac:dyDescent="0.25">
      <c r="A428" s="460" t="s">
        <v>1230</v>
      </c>
      <c r="B428" s="236">
        <f>('Labor Rates 2025'!$E$12+'Labor Rates 2025'!$H$12)+('Labor Rates 2025'!$D$64+'Labor Rates 2025'!$H$19)</f>
        <v>94.09</v>
      </c>
      <c r="C428" s="73"/>
      <c r="D428" s="73" t="s">
        <v>1231</v>
      </c>
      <c r="E428" s="73"/>
      <c r="F428" s="73"/>
    </row>
    <row r="429" spans="1:10" x14ac:dyDescent="0.25">
      <c r="A429" s="460" t="s">
        <v>1232</v>
      </c>
      <c r="B429" s="236">
        <f>'Equipment Rates 2025'!$E$7</f>
        <v>92.68</v>
      </c>
      <c r="C429" s="73"/>
      <c r="D429" s="658" t="s">
        <v>1227</v>
      </c>
      <c r="E429" s="73"/>
      <c r="F429" s="73"/>
    </row>
    <row r="430" spans="1:10" x14ac:dyDescent="0.25">
      <c r="A430" s="460" t="s">
        <v>1233</v>
      </c>
      <c r="B430" s="613">
        <f>(B428+B429)*B427</f>
        <v>34344.675948524375</v>
      </c>
      <c r="C430" s="73"/>
      <c r="D430" s="73"/>
      <c r="E430" s="73"/>
      <c r="F430" s="73"/>
    </row>
    <row r="431" spans="1:10" x14ac:dyDescent="0.25">
      <c r="B431" s="73"/>
      <c r="C431" s="73"/>
      <c r="D431" s="73"/>
      <c r="E431" s="73"/>
      <c r="F431" s="73"/>
    </row>
    <row r="432" spans="1:10" x14ac:dyDescent="0.25">
      <c r="A432" s="445" t="s">
        <v>1234</v>
      </c>
      <c r="B432" s="73"/>
      <c r="C432" s="73"/>
      <c r="D432" s="658" t="s">
        <v>2082</v>
      </c>
      <c r="E432" s="73"/>
      <c r="F432" s="73"/>
    </row>
    <row r="433" spans="1:6" x14ac:dyDescent="0.25">
      <c r="A433" s="460" t="s">
        <v>1224</v>
      </c>
      <c r="B433" s="85">
        <f>C412</f>
        <v>735.55016220001869</v>
      </c>
      <c r="C433" s="73"/>
      <c r="D433" s="73" t="s">
        <v>1235</v>
      </c>
      <c r="E433" s="73"/>
      <c r="F433" s="73"/>
    </row>
    <row r="434" spans="1:6" x14ac:dyDescent="0.25">
      <c r="A434" s="460" t="s">
        <v>1236</v>
      </c>
      <c r="B434" s="73">
        <f>4840*0.5</f>
        <v>2420</v>
      </c>
      <c r="C434" s="73"/>
      <c r="D434" s="73" t="s">
        <v>1237</v>
      </c>
      <c r="E434" s="73"/>
      <c r="F434" s="73"/>
    </row>
    <row r="435" spans="1:6" x14ac:dyDescent="0.25">
      <c r="A435" s="460" t="s">
        <v>1238</v>
      </c>
      <c r="B435" s="85">
        <f>B433*B434</f>
        <v>1780031.3925240452</v>
      </c>
      <c r="C435" s="73"/>
      <c r="D435" s="73" t="s">
        <v>1239</v>
      </c>
      <c r="E435" s="73"/>
      <c r="F435" s="73"/>
    </row>
    <row r="436" spans="1:6" x14ac:dyDescent="0.25">
      <c r="A436" s="460" t="s">
        <v>1240</v>
      </c>
      <c r="B436" s="490">
        <f>B448</f>
        <v>0.95834707499999994</v>
      </c>
      <c r="C436" s="73"/>
      <c r="D436" s="73" t="s">
        <v>1970</v>
      </c>
      <c r="E436" s="73"/>
      <c r="F436" s="73"/>
    </row>
    <row r="437" spans="1:6" x14ac:dyDescent="0.25">
      <c r="A437" s="460" t="s">
        <v>1241</v>
      </c>
      <c r="B437" s="657">
        <f>B435*B436</f>
        <v>1705887.8784335954</v>
      </c>
      <c r="C437" s="73"/>
      <c r="D437" s="73"/>
      <c r="E437" s="73"/>
      <c r="F437" s="73"/>
    </row>
    <row r="438" spans="1:6" x14ac:dyDescent="0.25">
      <c r="B438" s="73"/>
      <c r="C438" s="73"/>
      <c r="D438" s="658"/>
      <c r="E438" s="73"/>
      <c r="F438" s="73"/>
    </row>
    <row r="439" spans="1:6" x14ac:dyDescent="0.25">
      <c r="A439" s="694" t="s">
        <v>1980</v>
      </c>
      <c r="B439" s="73"/>
      <c r="C439" s="73"/>
      <c r="D439" s="658"/>
      <c r="E439" s="73"/>
      <c r="F439" s="73"/>
    </row>
    <row r="440" spans="1:6" x14ac:dyDescent="0.25">
      <c r="A440" s="460" t="s">
        <v>1984</v>
      </c>
      <c r="B440" s="73">
        <v>35.43</v>
      </c>
      <c r="C440" s="73" t="s">
        <v>1983</v>
      </c>
      <c r="D440" s="658"/>
      <c r="E440" s="73"/>
      <c r="F440" s="73"/>
    </row>
    <row r="441" spans="1:6" x14ac:dyDescent="0.25">
      <c r="B441" s="166">
        <v>167.47</v>
      </c>
      <c r="C441" t="s">
        <v>1987</v>
      </c>
      <c r="D441" s="372"/>
    </row>
    <row r="442" spans="1:6" x14ac:dyDescent="0.25">
      <c r="B442" s="166">
        <f>B440*B441</f>
        <v>5933.4620999999997</v>
      </c>
      <c r="D442" s="372"/>
    </row>
    <row r="443" spans="1:6" x14ac:dyDescent="0.25">
      <c r="B443" s="166">
        <f>B442*0.05</f>
        <v>296.67310500000002</v>
      </c>
      <c r="C443" t="s">
        <v>1981</v>
      </c>
      <c r="D443" s="372"/>
    </row>
    <row r="444" spans="1:6" x14ac:dyDescent="0.25">
      <c r="B444" s="166">
        <f>B442+B443</f>
        <v>6230.1352049999996</v>
      </c>
      <c r="C444" t="s">
        <v>1982</v>
      </c>
      <c r="D444" s="372"/>
    </row>
    <row r="445" spans="1:6" x14ac:dyDescent="0.25">
      <c r="D445" s="372"/>
    </row>
    <row r="446" spans="1:6" x14ac:dyDescent="0.25">
      <c r="B446">
        <v>10.9</v>
      </c>
      <c r="C446" t="s">
        <v>1985</v>
      </c>
      <c r="D446" s="372"/>
    </row>
    <row r="447" spans="1:6" x14ac:dyDescent="0.25">
      <c r="B447" s="163">
        <f>B444/B440</f>
        <v>175.84349999999998</v>
      </c>
      <c r="C447" t="s">
        <v>1986</v>
      </c>
      <c r="D447" s="372"/>
    </row>
    <row r="448" spans="1:6" x14ac:dyDescent="0.25">
      <c r="B448" s="695">
        <f>(B447/2000)*(B446)</f>
        <v>0.95834707499999994</v>
      </c>
      <c r="C448" s="3" t="s">
        <v>1988</v>
      </c>
      <c r="D448" s="372"/>
    </row>
    <row r="449" spans="1:6" x14ac:dyDescent="0.25">
      <c r="D449" s="33"/>
    </row>
    <row r="450" spans="1:6" x14ac:dyDescent="0.25">
      <c r="D450" s="33"/>
    </row>
    <row r="451" spans="1:6" x14ac:dyDescent="0.25">
      <c r="A451" s="26" t="s">
        <v>1242</v>
      </c>
      <c r="B451" s="26"/>
      <c r="C451" s="26"/>
      <c r="D451" s="26"/>
      <c r="E451" s="26"/>
      <c r="F451" s="405">
        <f>B430+B437</f>
        <v>1740232.5543821198</v>
      </c>
    </row>
    <row r="454" spans="1:6" x14ac:dyDescent="0.25">
      <c r="A454" s="26" t="s">
        <v>1068</v>
      </c>
      <c r="B454" s="30"/>
      <c r="C454" s="30"/>
      <c r="D454" s="30"/>
      <c r="E454" s="30"/>
      <c r="F454" s="30"/>
    </row>
    <row r="485" spans="1:1" x14ac:dyDescent="0.25">
      <c r="A485" s="17"/>
    </row>
    <row r="486" spans="1:1" x14ac:dyDescent="0.25">
      <c r="A486" s="17"/>
    </row>
    <row r="487" spans="1:1" x14ac:dyDescent="0.25">
      <c r="A487" s="17"/>
    </row>
    <row r="488" spans="1:1" x14ac:dyDescent="0.25">
      <c r="A488" s="17"/>
    </row>
    <row r="489" spans="1:1" x14ac:dyDescent="0.25">
      <c r="A489" s="17"/>
    </row>
    <row r="502" spans="1:4" x14ac:dyDescent="0.25">
      <c r="D502" s="76"/>
    </row>
    <row r="503" spans="1:4" x14ac:dyDescent="0.25">
      <c r="D503" s="249"/>
    </row>
    <row r="511" spans="1:4" x14ac:dyDescent="0.25">
      <c r="A511" s="3"/>
    </row>
    <row r="512" spans="1:4" x14ac:dyDescent="0.25">
      <c r="A512" s="3"/>
    </row>
    <row r="522" spans="1:7" s="3" customFormat="1" x14ac:dyDescent="0.25">
      <c r="A522" s="511" t="s">
        <v>1243</v>
      </c>
      <c r="B522" s="403" t="s">
        <v>1244</v>
      </c>
      <c r="C522" s="407" t="s">
        <v>1245</v>
      </c>
      <c r="D522" s="3" t="s">
        <v>1246</v>
      </c>
      <c r="E522" s="3" t="s">
        <v>1247</v>
      </c>
      <c r="G522" s="45"/>
    </row>
    <row r="523" spans="1:7" x14ac:dyDescent="0.25">
      <c r="A523" s="512" t="s">
        <v>1248</v>
      </c>
      <c r="B523" s="406"/>
      <c r="C523" s="240"/>
      <c r="D523" s="240"/>
      <c r="E523" s="240"/>
    </row>
    <row r="524" spans="1:7" ht="60" x14ac:dyDescent="0.25">
      <c r="A524" s="513" t="s">
        <v>1249</v>
      </c>
      <c r="B524" s="363" t="s">
        <v>1250</v>
      </c>
      <c r="C524" s="413">
        <f>(B546*8)+(B547*8)</f>
        <v>2260.64</v>
      </c>
      <c r="D524" s="413">
        <f>C524*4</f>
        <v>9042.56</v>
      </c>
      <c r="E524" s="240" t="s">
        <v>1251</v>
      </c>
    </row>
    <row r="525" spans="1:7" ht="45" x14ac:dyDescent="0.25">
      <c r="A525" s="513" t="s">
        <v>1252</v>
      </c>
      <c r="B525" s="363" t="s">
        <v>1253</v>
      </c>
      <c r="C525" s="413">
        <f>B547*8</f>
        <v>766.32</v>
      </c>
      <c r="D525" s="413">
        <f>C525*12</f>
        <v>9195.84</v>
      </c>
      <c r="E525" s="240" t="s">
        <v>1254</v>
      </c>
    </row>
    <row r="526" spans="1:7" s="3" customFormat="1" x14ac:dyDescent="0.25">
      <c r="A526" s="513" t="s">
        <v>1255</v>
      </c>
      <c r="B526" s="363" t="s">
        <v>1253</v>
      </c>
      <c r="C526" s="413">
        <f>B547*8</f>
        <v>766.32</v>
      </c>
      <c r="D526" s="413">
        <f>C526*12</f>
        <v>9195.84</v>
      </c>
      <c r="E526" s="240" t="s">
        <v>1254</v>
      </c>
      <c r="G526" s="45"/>
    </row>
    <row r="527" spans="1:7" ht="30" x14ac:dyDescent="0.25">
      <c r="A527" s="513" t="s">
        <v>1256</v>
      </c>
      <c r="B527" s="363" t="s">
        <v>1253</v>
      </c>
      <c r="C527" s="413">
        <f>B547*16</f>
        <v>1532.64</v>
      </c>
      <c r="D527" s="413">
        <f>C527*12</f>
        <v>18391.68</v>
      </c>
      <c r="E527" s="240" t="s">
        <v>1257</v>
      </c>
    </row>
    <row r="528" spans="1:7" x14ac:dyDescent="0.25">
      <c r="A528" s="513" t="s">
        <v>1258</v>
      </c>
      <c r="B528" s="363" t="s">
        <v>1259</v>
      </c>
      <c r="C528" s="413">
        <f>(B546*40)+(2*(B547*40))</f>
        <v>15134.8</v>
      </c>
      <c r="D528" s="413">
        <f>C528</f>
        <v>15134.8</v>
      </c>
      <c r="E528" s="240" t="s">
        <v>1260</v>
      </c>
    </row>
    <row r="529" spans="1:5" ht="30" x14ac:dyDescent="0.25">
      <c r="A529" s="513" t="s">
        <v>1261</v>
      </c>
      <c r="B529" s="363" t="s">
        <v>1259</v>
      </c>
      <c r="C529" s="414" t="s">
        <v>50</v>
      </c>
      <c r="D529" s="414" t="s">
        <v>50</v>
      </c>
      <c r="E529" s="240" t="s">
        <v>1262</v>
      </c>
    </row>
    <row r="530" spans="1:5" x14ac:dyDescent="0.25">
      <c r="A530" s="512" t="s">
        <v>1263</v>
      </c>
      <c r="B530" s="240"/>
      <c r="C530" s="411"/>
      <c r="D530" s="411"/>
      <c r="E530" s="240"/>
    </row>
    <row r="531" spans="1:5" x14ac:dyDescent="0.25">
      <c r="A531" s="513" t="s">
        <v>1264</v>
      </c>
      <c r="B531" s="363" t="s">
        <v>1253</v>
      </c>
      <c r="C531" s="413">
        <f>B547*4</f>
        <v>383.16</v>
      </c>
      <c r="D531" s="413">
        <f>C531*12</f>
        <v>4597.92</v>
      </c>
      <c r="E531" s="240" t="s">
        <v>1265</v>
      </c>
    </row>
    <row r="532" spans="1:5" x14ac:dyDescent="0.25">
      <c r="A532" s="513" t="s">
        <v>1266</v>
      </c>
      <c r="B532" s="363" t="s">
        <v>1259</v>
      </c>
      <c r="C532" s="413">
        <f>(B546*8)+(B547*8)</f>
        <v>2260.64</v>
      </c>
      <c r="D532" s="413">
        <f>C532*4</f>
        <v>9042.56</v>
      </c>
      <c r="E532" s="240" t="s">
        <v>1251</v>
      </c>
    </row>
    <row r="533" spans="1:5" ht="30" x14ac:dyDescent="0.25">
      <c r="A533" s="513" t="s">
        <v>1267</v>
      </c>
      <c r="B533" s="363" t="s">
        <v>1259</v>
      </c>
      <c r="C533" s="414" t="s">
        <v>50</v>
      </c>
      <c r="D533" s="414" t="s">
        <v>50</v>
      </c>
      <c r="E533" s="240" t="s">
        <v>1262</v>
      </c>
    </row>
    <row r="534" spans="1:5" x14ac:dyDescent="0.25">
      <c r="A534" s="512" t="s">
        <v>1268</v>
      </c>
      <c r="B534" s="240"/>
      <c r="C534" s="411"/>
      <c r="D534" s="411"/>
      <c r="E534" s="240"/>
    </row>
    <row r="535" spans="1:5" ht="45" x14ac:dyDescent="0.25">
      <c r="A535" s="513" t="s">
        <v>1269</v>
      </c>
      <c r="B535" s="363" t="s">
        <v>1270</v>
      </c>
      <c r="C535" s="413">
        <f>(B546*8)+(B547*8)</f>
        <v>2260.64</v>
      </c>
      <c r="D535" s="413">
        <f>C535*4</f>
        <v>9042.56</v>
      </c>
      <c r="E535" s="240" t="s">
        <v>1251</v>
      </c>
    </row>
    <row r="536" spans="1:5" x14ac:dyDescent="0.25">
      <c r="A536" s="512" t="s">
        <v>1271</v>
      </c>
      <c r="B536" s="240"/>
      <c r="C536" s="412"/>
      <c r="D536" s="411"/>
      <c r="E536" s="240"/>
    </row>
    <row r="537" spans="1:5" x14ac:dyDescent="0.25">
      <c r="A537" s="513" t="s">
        <v>1272</v>
      </c>
      <c r="B537" s="363" t="s">
        <v>1253</v>
      </c>
      <c r="C537" s="414" t="s">
        <v>50</v>
      </c>
      <c r="D537" s="414" t="s">
        <v>50</v>
      </c>
      <c r="E537" s="240" t="s">
        <v>1273</v>
      </c>
    </row>
    <row r="538" spans="1:5" x14ac:dyDescent="0.25">
      <c r="A538" s="513" t="s">
        <v>1274</v>
      </c>
      <c r="B538" s="363" t="s">
        <v>1253</v>
      </c>
      <c r="C538" s="414" t="s">
        <v>50</v>
      </c>
      <c r="D538" s="414" t="s">
        <v>50</v>
      </c>
      <c r="E538" s="240" t="s">
        <v>1273</v>
      </c>
    </row>
    <row r="539" spans="1:5" x14ac:dyDescent="0.25">
      <c r="A539" s="512" t="s">
        <v>1275</v>
      </c>
      <c r="B539" s="240"/>
      <c r="C539" s="411"/>
      <c r="D539" s="411"/>
      <c r="E539" s="240"/>
    </row>
    <row r="540" spans="1:5" ht="30" x14ac:dyDescent="0.25">
      <c r="A540" s="513" t="s">
        <v>1276</v>
      </c>
      <c r="B540" s="363" t="s">
        <v>1270</v>
      </c>
      <c r="C540" s="413">
        <f>(B546*8)+(B547*8)</f>
        <v>2260.64</v>
      </c>
      <c r="D540" s="413">
        <f>C540*4</f>
        <v>9042.56</v>
      </c>
      <c r="E540" s="240" t="s">
        <v>1277</v>
      </c>
    </row>
    <row r="541" spans="1:5" x14ac:dyDescent="0.25">
      <c r="A541" s="514" t="s">
        <v>1278</v>
      </c>
      <c r="B541" s="363" t="s">
        <v>1279</v>
      </c>
      <c r="C541" s="414" t="s">
        <v>50</v>
      </c>
      <c r="D541" s="414" t="s">
        <v>50</v>
      </c>
      <c r="E541" s="240" t="s">
        <v>1273</v>
      </c>
    </row>
    <row r="542" spans="1:5" x14ac:dyDescent="0.25">
      <c r="A542" s="512"/>
      <c r="B542" s="53"/>
      <c r="C542" s="506"/>
      <c r="D542" s="506"/>
      <c r="E542" s="240"/>
    </row>
    <row r="543" spans="1:5" x14ac:dyDescent="0.25">
      <c r="A543" s="455"/>
      <c r="C543" s="53"/>
    </row>
    <row r="544" spans="1:5" x14ac:dyDescent="0.25">
      <c r="A544" s="509" t="s">
        <v>1281</v>
      </c>
      <c r="B544" s="1" t="s">
        <v>1282</v>
      </c>
      <c r="C544" s="1"/>
      <c r="D544" s="225"/>
      <c r="E544" s="180"/>
    </row>
    <row r="545" spans="1:6" x14ac:dyDescent="0.25">
      <c r="A545" s="250" t="s">
        <v>952</v>
      </c>
      <c r="B545" s="182">
        <f>'Labor Rates 2025'!$D$59</f>
        <v>230.55</v>
      </c>
      <c r="C545" s="77"/>
      <c r="D545" s="376"/>
      <c r="E545" s="180"/>
      <c r="F545" s="251"/>
    </row>
    <row r="546" spans="1:6" x14ac:dyDescent="0.25">
      <c r="A546" s="250" t="s">
        <v>953</v>
      </c>
      <c r="B546" s="182">
        <f>'Labor Rates 2025'!$D$60</f>
        <v>186.79</v>
      </c>
      <c r="C546" s="77"/>
      <c r="D546" s="376"/>
      <c r="E546" s="180"/>
      <c r="F546" s="251"/>
    </row>
    <row r="547" spans="1:6" x14ac:dyDescent="0.25">
      <c r="A547" s="250" t="s">
        <v>954</v>
      </c>
      <c r="B547" s="182">
        <f>'Labor Rates 2025'!$D$62</f>
        <v>95.79</v>
      </c>
      <c r="C547" s="77"/>
      <c r="D547" s="376"/>
      <c r="E547" s="180"/>
      <c r="F547" s="251"/>
    </row>
    <row r="548" spans="1:6" x14ac:dyDescent="0.25">
      <c r="A548" s="250" t="s">
        <v>956</v>
      </c>
      <c r="B548" s="182">
        <f>'Labor Rates 2025'!$D$61</f>
        <v>82.66</v>
      </c>
      <c r="C548" s="77"/>
      <c r="D548" s="376"/>
      <c r="E548" s="180"/>
      <c r="F548" s="251"/>
    </row>
    <row r="549" spans="1:6" x14ac:dyDescent="0.25">
      <c r="A549" s="507"/>
      <c r="B549" s="182"/>
      <c r="C549" s="77"/>
      <c r="D549" s="376"/>
      <c r="E549" s="180"/>
      <c r="F549" s="251"/>
    </row>
    <row r="550" spans="1:6" x14ac:dyDescent="0.25">
      <c r="A550" s="68" t="s">
        <v>1280</v>
      </c>
      <c r="B550" s="30"/>
      <c r="C550" s="30"/>
      <c r="D550" s="30"/>
      <c r="E550" s="30"/>
      <c r="F550" s="410">
        <f>SUM(D524:D541)</f>
        <v>92686.319999999992</v>
      </c>
    </row>
    <row r="551" spans="1:6" x14ac:dyDescent="0.25">
      <c r="B551" s="182"/>
      <c r="C551" s="77"/>
      <c r="D551" s="376"/>
      <c r="F551" s="251"/>
    </row>
    <row r="552" spans="1:6" x14ac:dyDescent="0.25">
      <c r="B552" s="182"/>
      <c r="C552" s="77"/>
      <c r="D552" s="376"/>
      <c r="F552" s="251"/>
    </row>
    <row r="553" spans="1:6" x14ac:dyDescent="0.25">
      <c r="A553" s="26" t="s">
        <v>1283</v>
      </c>
      <c r="B553" s="30"/>
      <c r="C553" s="30"/>
      <c r="D553" s="30"/>
      <c r="E553" s="30"/>
      <c r="F553" s="30"/>
    </row>
    <row r="554" spans="1:6" x14ac:dyDescent="0.25">
      <c r="A554" s="511" t="s">
        <v>1243</v>
      </c>
      <c r="B554" s="403" t="s">
        <v>1244</v>
      </c>
      <c r="C554" s="407" t="s">
        <v>1245</v>
      </c>
      <c r="D554" s="3" t="s">
        <v>1246</v>
      </c>
      <c r="E554" s="3" t="s">
        <v>1247</v>
      </c>
    </row>
    <row r="555" spans="1:6" x14ac:dyDescent="0.25">
      <c r="A555" s="515" t="s">
        <v>1248</v>
      </c>
      <c r="B555" s="406"/>
      <c r="C555" s="240"/>
      <c r="D555" s="240"/>
      <c r="E555" s="240"/>
    </row>
    <row r="556" spans="1:6" x14ac:dyDescent="0.25">
      <c r="A556" s="516" t="s">
        <v>13</v>
      </c>
      <c r="B556" s="363" t="s">
        <v>1259</v>
      </c>
      <c r="C556" s="659">
        <f>B545*80</f>
        <v>18444</v>
      </c>
      <c r="D556" s="659">
        <f>C556</f>
        <v>18444</v>
      </c>
      <c r="E556" s="240" t="s">
        <v>1284</v>
      </c>
      <c r="F556" s="280"/>
    </row>
    <row r="557" spans="1:6" x14ac:dyDescent="0.25">
      <c r="A557" s="516" t="s">
        <v>1285</v>
      </c>
      <c r="B557" s="363" t="s">
        <v>1286</v>
      </c>
      <c r="C557" s="659">
        <f>(B546*3)*80</f>
        <v>44829.599999999999</v>
      </c>
      <c r="D557" s="659">
        <f>C557</f>
        <v>44829.599999999999</v>
      </c>
      <c r="E557" s="240" t="s">
        <v>1287</v>
      </c>
    </row>
    <row r="558" spans="1:6" x14ac:dyDescent="0.25">
      <c r="D558" t="s">
        <v>1288</v>
      </c>
      <c r="E558" s="240"/>
    </row>
    <row r="562" spans="1:6" x14ac:dyDescent="0.25">
      <c r="A562" s="26" t="s">
        <v>1072</v>
      </c>
      <c r="B562" s="30"/>
      <c r="C562" s="30"/>
      <c r="D562" s="30"/>
      <c r="E562" s="30"/>
      <c r="F562" s="30"/>
    </row>
    <row r="564" spans="1:6" x14ac:dyDescent="0.25">
      <c r="F564" s="280"/>
    </row>
    <row r="565" spans="1:6" x14ac:dyDescent="0.25">
      <c r="F565" s="280"/>
    </row>
    <row r="566" spans="1:6" x14ac:dyDescent="0.25">
      <c r="F566" s="280"/>
    </row>
    <row r="567" spans="1:6" x14ac:dyDescent="0.25">
      <c r="F567" s="280"/>
    </row>
    <row r="568" spans="1:6" x14ac:dyDescent="0.25">
      <c r="F568" s="280"/>
    </row>
    <row r="569" spans="1:6" x14ac:dyDescent="0.25">
      <c r="F569" s="280"/>
    </row>
    <row r="570" spans="1:6" x14ac:dyDescent="0.25">
      <c r="F570" s="280"/>
    </row>
    <row r="571" spans="1:6" x14ac:dyDescent="0.25">
      <c r="F571" s="280"/>
    </row>
    <row r="577" spans="1:4" x14ac:dyDescent="0.25">
      <c r="A577" s="73"/>
      <c r="C577" s="1"/>
      <c r="D577" s="1"/>
    </row>
    <row r="579" spans="1:4" x14ac:dyDescent="0.25">
      <c r="B579" s="903" t="s">
        <v>2103</v>
      </c>
    </row>
    <row r="580" spans="1:4" x14ac:dyDescent="0.25">
      <c r="A580" s="453" t="s">
        <v>1289</v>
      </c>
      <c r="B580" s="904">
        <v>150</v>
      </c>
      <c r="C580" s="1"/>
      <c r="D580" s="1"/>
    </row>
    <row r="581" spans="1:4" x14ac:dyDescent="0.25">
      <c r="A581" s="453" t="s">
        <v>998</v>
      </c>
      <c r="B581" s="230">
        <v>140</v>
      </c>
      <c r="C581" s="73"/>
      <c r="D581" s="295" t="s">
        <v>1972</v>
      </c>
    </row>
    <row r="582" spans="1:4" x14ac:dyDescent="0.25">
      <c r="A582" s="719" t="s">
        <v>1290</v>
      </c>
      <c r="B582" s="905">
        <f>B580*B581</f>
        <v>21000</v>
      </c>
      <c r="C582" s="1"/>
      <c r="D582" s="1"/>
    </row>
    <row r="583" spans="1:4" x14ac:dyDescent="0.25">
      <c r="B583" s="21"/>
      <c r="C583" s="1"/>
      <c r="D583" s="1"/>
    </row>
    <row r="584" spans="1:4" x14ac:dyDescent="0.25">
      <c r="A584" s="455" t="s">
        <v>1291</v>
      </c>
      <c r="B584" s="21"/>
      <c r="D584" s="1"/>
    </row>
    <row r="585" spans="1:4" x14ac:dyDescent="0.25">
      <c r="A585" s="455" t="s">
        <v>1292</v>
      </c>
      <c r="B585" s="905">
        <v>25000</v>
      </c>
      <c r="C585" s="906" t="s">
        <v>2096</v>
      </c>
    </row>
    <row r="586" spans="1:4" x14ac:dyDescent="0.25">
      <c r="A586" s="445" t="s">
        <v>1293</v>
      </c>
      <c r="B586" s="905">
        <v>10000</v>
      </c>
    </row>
    <row r="603" spans="1:6" x14ac:dyDescent="0.25">
      <c r="A603" s="57" t="s">
        <v>1294</v>
      </c>
      <c r="B603" s="30"/>
      <c r="C603" s="30"/>
      <c r="D603" s="30"/>
      <c r="E603" s="30"/>
      <c r="F603" s="30"/>
    </row>
    <row r="607" spans="1:6" x14ac:dyDescent="0.25">
      <c r="A607" s="178"/>
    </row>
    <row r="662" spans="1:7" x14ac:dyDescent="0.25">
      <c r="A662" s="3" t="s">
        <v>1295</v>
      </c>
      <c r="G662" s="274" t="s">
        <v>1296</v>
      </c>
    </row>
    <row r="663" spans="1:7" x14ac:dyDescent="0.25">
      <c r="A663" t="s">
        <v>1297</v>
      </c>
      <c r="F663" t="s">
        <v>1298</v>
      </c>
      <c r="G663" s="836">
        <v>22</v>
      </c>
    </row>
    <row r="664" spans="1:7" x14ac:dyDescent="0.25">
      <c r="A664" t="s">
        <v>1299</v>
      </c>
      <c r="F664" t="s">
        <v>1300</v>
      </c>
      <c r="G664" s="836">
        <v>16</v>
      </c>
    </row>
    <row r="665" spans="1:7" x14ac:dyDescent="0.25">
      <c r="A665" s="225" t="s">
        <v>1301</v>
      </c>
      <c r="D665">
        <v>2</v>
      </c>
      <c r="F665" t="s">
        <v>1302</v>
      </c>
      <c r="G665" s="836">
        <v>32</v>
      </c>
    </row>
    <row r="666" spans="1:7" x14ac:dyDescent="0.25">
      <c r="A666" s="225" t="s">
        <v>1303</v>
      </c>
      <c r="D666">
        <v>36</v>
      </c>
      <c r="F666" t="s">
        <v>1304</v>
      </c>
      <c r="G666" s="836">
        <v>16</v>
      </c>
    </row>
    <row r="667" spans="1:7" x14ac:dyDescent="0.25">
      <c r="A667" s="225" t="s">
        <v>1305</v>
      </c>
      <c r="D667">
        <v>72</v>
      </c>
      <c r="F667" t="s">
        <v>974</v>
      </c>
      <c r="G667" s="836">
        <v>16</v>
      </c>
    </row>
    <row r="668" spans="1:7" x14ac:dyDescent="0.25">
      <c r="A668" s="225" t="s">
        <v>1306</v>
      </c>
      <c r="D668" s="390">
        <v>735</v>
      </c>
      <c r="F668" t="s">
        <v>1307</v>
      </c>
      <c r="G668" s="836">
        <v>29</v>
      </c>
    </row>
    <row r="669" spans="1:7" x14ac:dyDescent="0.25">
      <c r="A669" s="220" t="s">
        <v>1308</v>
      </c>
      <c r="D669" s="379">
        <f>(D667*D668)</f>
        <v>52920</v>
      </c>
      <c r="F669" t="s">
        <v>1309</v>
      </c>
      <c r="G669" s="836">
        <v>23</v>
      </c>
    </row>
    <row r="670" spans="1:7" x14ac:dyDescent="0.25">
      <c r="F670" t="s">
        <v>1310</v>
      </c>
      <c r="G670" s="836">
        <v>63</v>
      </c>
    </row>
    <row r="671" spans="1:7" x14ac:dyDescent="0.25">
      <c r="F671" t="s">
        <v>1311</v>
      </c>
      <c r="G671" s="836">
        <v>432</v>
      </c>
    </row>
    <row r="672" spans="1:7" x14ac:dyDescent="0.25">
      <c r="F672" t="s">
        <v>1312</v>
      </c>
      <c r="G672" s="836">
        <v>22</v>
      </c>
    </row>
    <row r="673" spans="1:11" x14ac:dyDescent="0.25">
      <c r="F673" t="s">
        <v>1313</v>
      </c>
      <c r="G673" s="836">
        <v>32</v>
      </c>
    </row>
    <row r="674" spans="1:11" x14ac:dyDescent="0.25">
      <c r="F674" t="s">
        <v>1314</v>
      </c>
      <c r="G674" s="836">
        <v>29</v>
      </c>
    </row>
    <row r="675" spans="1:11" x14ac:dyDescent="0.25">
      <c r="F675" t="s">
        <v>1315</v>
      </c>
      <c r="G675" s="837">
        <v>3</v>
      </c>
    </row>
    <row r="676" spans="1:11" x14ac:dyDescent="0.25">
      <c r="G676" s="838">
        <f>SUM(G663:G675)</f>
        <v>735</v>
      </c>
    </row>
    <row r="677" spans="1:11" x14ac:dyDescent="0.25">
      <c r="A677" s="24" t="s">
        <v>1316</v>
      </c>
      <c r="B677" s="1" t="s">
        <v>950</v>
      </c>
      <c r="C677" s="1" t="s">
        <v>598</v>
      </c>
      <c r="D677" s="225" t="s">
        <v>951</v>
      </c>
      <c r="E677" s="180"/>
    </row>
    <row r="678" spans="1:11" x14ac:dyDescent="0.25">
      <c r="A678" s="250" t="s">
        <v>952</v>
      </c>
      <c r="B678" s="182">
        <f>'Labor Rates 2025'!$D$59</f>
        <v>230.55</v>
      </c>
      <c r="C678" s="77">
        <v>16</v>
      </c>
      <c r="D678" s="376">
        <f t="shared" ref="D678:D683" si="7">B678*C678</f>
        <v>3688.8</v>
      </c>
      <c r="E678" s="251"/>
    </row>
    <row r="679" spans="1:11" x14ac:dyDescent="0.25">
      <c r="A679" s="250" t="s">
        <v>953</v>
      </c>
      <c r="B679" s="182">
        <f>'Labor Rates 2025'!$D$60</f>
        <v>186.79</v>
      </c>
      <c r="C679" s="77">
        <v>16</v>
      </c>
      <c r="D679" s="376">
        <f t="shared" si="7"/>
        <v>2988.64</v>
      </c>
      <c r="E679" s="180"/>
      <c r="J679" s="252"/>
      <c r="K679" s="180"/>
    </row>
    <row r="680" spans="1:11" x14ac:dyDescent="0.25">
      <c r="A680" s="250" t="s">
        <v>1045</v>
      </c>
      <c r="B680" s="182">
        <f>'Labor Rates 2025'!$D$62</f>
        <v>95.79</v>
      </c>
      <c r="C680" s="77">
        <v>160</v>
      </c>
      <c r="D680" s="376">
        <f t="shared" si="7"/>
        <v>15326.400000000001</v>
      </c>
      <c r="E680" s="251"/>
      <c r="J680" s="252"/>
      <c r="K680" s="180"/>
    </row>
    <row r="681" spans="1:11" x14ac:dyDescent="0.25">
      <c r="A681" s="250" t="s">
        <v>956</v>
      </c>
      <c r="B681" s="182">
        <f>'Labor Rates 2025'!$D$61</f>
        <v>82.66</v>
      </c>
      <c r="C681" s="77">
        <v>8</v>
      </c>
      <c r="D681" s="376">
        <f t="shared" si="7"/>
        <v>661.28</v>
      </c>
      <c r="E681" s="180"/>
      <c r="F681" s="251"/>
      <c r="J681" s="252"/>
      <c r="K681" s="180"/>
    </row>
    <row r="682" spans="1:11" x14ac:dyDescent="0.25">
      <c r="A682" s="250" t="s">
        <v>957</v>
      </c>
      <c r="B682" s="497">
        <v>1000</v>
      </c>
      <c r="C682" s="77">
        <v>1</v>
      </c>
      <c r="D682" s="376">
        <f t="shared" si="7"/>
        <v>1000</v>
      </c>
      <c r="F682" s="251"/>
      <c r="J682" s="252"/>
      <c r="K682" s="180"/>
    </row>
    <row r="683" spans="1:11" x14ac:dyDescent="0.25">
      <c r="A683" s="250" t="s">
        <v>1317</v>
      </c>
      <c r="B683" s="498">
        <v>100</v>
      </c>
      <c r="C683" s="296">
        <v>4</v>
      </c>
      <c r="D683" s="377">
        <f t="shared" si="7"/>
        <v>400</v>
      </c>
      <c r="F683" s="251"/>
      <c r="J683" s="252"/>
      <c r="K683" s="180"/>
    </row>
    <row r="684" spans="1:11" x14ac:dyDescent="0.25">
      <c r="A684" s="250" t="s">
        <v>958</v>
      </c>
      <c r="B684" s="182"/>
      <c r="C684" s="77"/>
      <c r="D684" s="376">
        <f>SUM(D678:D683)</f>
        <v>24065.120000000003</v>
      </c>
      <c r="F684" s="251"/>
    </row>
    <row r="685" spans="1:11" x14ac:dyDescent="0.25">
      <c r="A685" s="381" t="s">
        <v>1047</v>
      </c>
      <c r="B685" s="188"/>
      <c r="C685" s="3"/>
      <c r="D685" s="378">
        <f>D684*2</f>
        <v>48130.240000000005</v>
      </c>
      <c r="E685" t="s">
        <v>1318</v>
      </c>
      <c r="F685" s="251"/>
    </row>
    <row r="686" spans="1:11" x14ac:dyDescent="0.25">
      <c r="B686" s="73"/>
    </row>
    <row r="687" spans="1:11" x14ac:dyDescent="0.25">
      <c r="B687" s="73"/>
    </row>
    <row r="688" spans="1:11" x14ac:dyDescent="0.25">
      <c r="A688" s="24" t="s">
        <v>1319</v>
      </c>
      <c r="B688" s="77" t="s">
        <v>950</v>
      </c>
      <c r="C688" s="1" t="s">
        <v>598</v>
      </c>
      <c r="D688" s="225" t="s">
        <v>951</v>
      </c>
      <c r="F688" s="251"/>
    </row>
    <row r="689" spans="1:7" s="3" customFormat="1" x14ac:dyDescent="0.25">
      <c r="A689" s="254" t="s">
        <v>952</v>
      </c>
      <c r="B689" s="182">
        <f>'Labor Rates 2025'!$D$59</f>
        <v>230.55</v>
      </c>
      <c r="C689" s="77">
        <v>8</v>
      </c>
      <c r="D689" s="171">
        <f>B689*C689</f>
        <v>1844.4</v>
      </c>
      <c r="E689"/>
      <c r="G689" s="45"/>
    </row>
    <row r="690" spans="1:7" x14ac:dyDescent="0.25">
      <c r="A690" s="254" t="s">
        <v>953</v>
      </c>
      <c r="B690" s="182">
        <f>'Labor Rates 2025'!$D$60</f>
        <v>186.79</v>
      </c>
      <c r="C690" s="77">
        <v>40</v>
      </c>
      <c r="D690" s="171">
        <f>B690*C690</f>
        <v>7471.5999999999995</v>
      </c>
      <c r="G690" s="839"/>
    </row>
    <row r="691" spans="1:7" x14ac:dyDescent="0.25">
      <c r="A691" s="254" t="s">
        <v>1048</v>
      </c>
      <c r="B691" s="182">
        <f>'Labor Rates 2025'!$D$62</f>
        <v>95.79</v>
      </c>
      <c r="C691" s="77">
        <v>80</v>
      </c>
      <c r="D691" s="171">
        <f>B691*C691</f>
        <v>7663.2000000000007</v>
      </c>
      <c r="F691" s="251"/>
      <c r="G691" s="840"/>
    </row>
    <row r="692" spans="1:7" x14ac:dyDescent="0.25">
      <c r="A692" s="254" t="s">
        <v>956</v>
      </c>
      <c r="B692" s="182">
        <f>'Labor Rates 2025'!$D$61</f>
        <v>82.66</v>
      </c>
      <c r="C692" s="77">
        <v>16</v>
      </c>
      <c r="D692" s="171">
        <f>B692*C692</f>
        <v>1322.56</v>
      </c>
      <c r="E692" s="73"/>
      <c r="F692" s="251"/>
      <c r="G692" s="840"/>
    </row>
    <row r="693" spans="1:7" x14ac:dyDescent="0.25">
      <c r="A693" s="250" t="s">
        <v>961</v>
      </c>
      <c r="B693" s="498">
        <f>'Labor Rates 2025'!$D$66</f>
        <v>91.68</v>
      </c>
      <c r="C693" s="296">
        <v>16</v>
      </c>
      <c r="D693" s="408">
        <f>B693*C693</f>
        <v>1466.88</v>
      </c>
      <c r="E693" s="73"/>
      <c r="F693" s="251"/>
    </row>
    <row r="694" spans="1:7" x14ac:dyDescent="0.25">
      <c r="A694" s="220" t="s">
        <v>1049</v>
      </c>
      <c r="B694" s="180"/>
      <c r="C694" s="180"/>
      <c r="D694" s="380">
        <f>SUM(D689:D693)</f>
        <v>19768.640000000003</v>
      </c>
      <c r="E694" s="417" t="s">
        <v>1320</v>
      </c>
      <c r="F694" s="251"/>
    </row>
    <row r="695" spans="1:7" x14ac:dyDescent="0.25">
      <c r="F695" s="251"/>
    </row>
    <row r="696" spans="1:7" x14ac:dyDescent="0.25">
      <c r="F696" s="255"/>
      <c r="G696" s="840"/>
    </row>
    <row r="697" spans="1:7" x14ac:dyDescent="0.25">
      <c r="G697" s="840"/>
    </row>
    <row r="698" spans="1:7" x14ac:dyDescent="0.25">
      <c r="A698" s="409" t="s">
        <v>1322</v>
      </c>
      <c r="B698" s="30"/>
      <c r="C698" s="30"/>
      <c r="D698" s="410">
        <f>D685+D669+D694</f>
        <v>120818.88</v>
      </c>
      <c r="F698" t="s">
        <v>1323</v>
      </c>
    </row>
    <row r="701" spans="1:7" x14ac:dyDescent="0.25">
      <c r="A701" s="409" t="s">
        <v>1043</v>
      </c>
      <c r="B701" s="30"/>
      <c r="C701" s="30"/>
      <c r="D701" s="30"/>
      <c r="E701" s="30"/>
      <c r="F701" s="30"/>
    </row>
    <row r="745" spans="1:6" x14ac:dyDescent="0.25">
      <c r="A745" s="24" t="s">
        <v>1044</v>
      </c>
      <c r="B745" s="1" t="s">
        <v>950</v>
      </c>
      <c r="C745" s="1" t="s">
        <v>598</v>
      </c>
      <c r="D745" s="225" t="s">
        <v>951</v>
      </c>
      <c r="E745" s="180"/>
    </row>
    <row r="746" spans="1:6" x14ac:dyDescent="0.25">
      <c r="A746" s="250" t="s">
        <v>952</v>
      </c>
      <c r="B746" s="182">
        <f>'Labor Rates 2025'!$D$59</f>
        <v>230.55</v>
      </c>
      <c r="C746" s="77">
        <v>16</v>
      </c>
      <c r="D746" s="376">
        <f>B746*C746</f>
        <v>3688.8</v>
      </c>
      <c r="E746" s="180"/>
      <c r="F746" s="251"/>
    </row>
    <row r="747" spans="1:6" x14ac:dyDescent="0.25">
      <c r="A747" s="250" t="s">
        <v>953</v>
      </c>
      <c r="B747" s="182">
        <f>'Labor Rates 2025'!$D$60</f>
        <v>186.79</v>
      </c>
      <c r="C747" s="77">
        <v>16</v>
      </c>
      <c r="D747" s="376">
        <f>B747*C747</f>
        <v>2988.64</v>
      </c>
      <c r="E747" s="180"/>
      <c r="F747" s="251"/>
    </row>
    <row r="748" spans="1:6" x14ac:dyDescent="0.25">
      <c r="A748" s="250" t="s">
        <v>1045</v>
      </c>
      <c r="B748" s="182">
        <f>'Labor Rates 2025'!$D$62</f>
        <v>95.79</v>
      </c>
      <c r="C748" s="77">
        <v>160</v>
      </c>
      <c r="D748" s="376">
        <f>B748*C748</f>
        <v>15326.400000000001</v>
      </c>
      <c r="E748" s="251" t="s">
        <v>1046</v>
      </c>
      <c r="F748" s="251"/>
    </row>
    <row r="749" spans="1:6" x14ac:dyDescent="0.25">
      <c r="A749" s="250" t="s">
        <v>956</v>
      </c>
      <c r="B749" s="182">
        <f>'Labor Rates 2025'!$D$61</f>
        <v>82.66</v>
      </c>
      <c r="C749" s="77">
        <v>8</v>
      </c>
      <c r="D749" s="376">
        <f>B749*C749</f>
        <v>661.28</v>
      </c>
      <c r="E749" s="180"/>
      <c r="F749" s="251"/>
    </row>
    <row r="750" spans="1:6" x14ac:dyDescent="0.25">
      <c r="A750" s="250" t="s">
        <v>957</v>
      </c>
      <c r="B750" s="517">
        <v>1000</v>
      </c>
      <c r="C750" s="296">
        <v>1</v>
      </c>
      <c r="D750" s="377">
        <f>B750*C750</f>
        <v>1000</v>
      </c>
      <c r="F750" s="251"/>
    </row>
    <row r="751" spans="1:6" x14ac:dyDescent="0.25">
      <c r="A751" s="381" t="s">
        <v>1047</v>
      </c>
      <c r="B751" s="188"/>
      <c r="C751" s="3"/>
      <c r="D751" s="378">
        <f>SUM(D746:D750)</f>
        <v>23665.120000000003</v>
      </c>
    </row>
    <row r="752" spans="1:6" x14ac:dyDescent="0.25">
      <c r="B752" s="73"/>
    </row>
    <row r="753" spans="1:6" x14ac:dyDescent="0.25">
      <c r="B753" s="73"/>
    </row>
    <row r="754" spans="1:6" x14ac:dyDescent="0.25">
      <c r="B754" s="73"/>
    </row>
    <row r="755" spans="1:6" x14ac:dyDescent="0.25">
      <c r="A755" s="24" t="s">
        <v>960</v>
      </c>
      <c r="B755" s="77" t="s">
        <v>950</v>
      </c>
      <c r="C755" s="1" t="s">
        <v>598</v>
      </c>
      <c r="D755" s="225" t="s">
        <v>951</v>
      </c>
    </row>
    <row r="756" spans="1:6" x14ac:dyDescent="0.25">
      <c r="A756" s="254" t="s">
        <v>952</v>
      </c>
      <c r="B756" s="182">
        <f>'Labor Rates 2025'!$D$59</f>
        <v>230.55</v>
      </c>
      <c r="C756" s="77">
        <v>8</v>
      </c>
      <c r="D756" s="171">
        <f>B756*C756</f>
        <v>1844.4</v>
      </c>
      <c r="F756" s="251"/>
    </row>
    <row r="757" spans="1:6" x14ac:dyDescent="0.25">
      <c r="A757" s="254" t="s">
        <v>953</v>
      </c>
      <c r="B757" s="182">
        <f>'Labor Rates 2025'!$D$60</f>
        <v>186.79</v>
      </c>
      <c r="C757" s="77">
        <v>40</v>
      </c>
      <c r="D757" s="171">
        <f>B757*C757</f>
        <v>7471.5999999999995</v>
      </c>
      <c r="F757" s="251"/>
    </row>
    <row r="758" spans="1:6" x14ac:dyDescent="0.25">
      <c r="A758" s="254" t="s">
        <v>1048</v>
      </c>
      <c r="B758" s="182">
        <f>'Labor Rates 2025'!$D$62</f>
        <v>95.79</v>
      </c>
      <c r="C758" s="77">
        <v>80</v>
      </c>
      <c r="D758" s="171">
        <f>B758*C758</f>
        <v>7663.2000000000007</v>
      </c>
      <c r="F758" s="251"/>
    </row>
    <row r="759" spans="1:6" x14ac:dyDescent="0.25">
      <c r="A759" s="254" t="s">
        <v>956</v>
      </c>
      <c r="B759" s="182">
        <f>'Labor Rates 2025'!$D$61</f>
        <v>82.66</v>
      </c>
      <c r="C759" s="77">
        <v>16</v>
      </c>
      <c r="D759" s="171">
        <f>B759*C759</f>
        <v>1322.56</v>
      </c>
      <c r="E759" s="73"/>
      <c r="F759" s="251"/>
    </row>
    <row r="760" spans="1:6" x14ac:dyDescent="0.25">
      <c r="A760" s="250" t="s">
        <v>961</v>
      </c>
      <c r="B760" s="498">
        <f>'Labor Rates 2025'!$C$51</f>
        <v>0</v>
      </c>
      <c r="C760" s="296">
        <v>16</v>
      </c>
      <c r="D760" s="408">
        <f>B760*C760</f>
        <v>0</v>
      </c>
      <c r="E760" s="73"/>
      <c r="F760" s="251"/>
    </row>
    <row r="761" spans="1:6" x14ac:dyDescent="0.25">
      <c r="A761" s="220" t="s">
        <v>1049</v>
      </c>
      <c r="B761" s="180"/>
      <c r="C761" s="180"/>
      <c r="D761" s="380">
        <f>SUM(D756:D760)</f>
        <v>18301.760000000002</v>
      </c>
      <c r="E761" s="253"/>
      <c r="F761" s="255"/>
    </row>
    <row r="765" spans="1:6" x14ac:dyDescent="0.25">
      <c r="A765" s="409" t="s">
        <v>1050</v>
      </c>
      <c r="B765" s="30"/>
      <c r="C765" s="30"/>
      <c r="D765" s="410">
        <f>D751+D761</f>
        <v>41966.880000000005</v>
      </c>
      <c r="F765" t="s">
        <v>1051</v>
      </c>
    </row>
  </sheetData>
  <mergeCells count="5">
    <mergeCell ref="A6:H6"/>
    <mergeCell ref="A4:F4"/>
    <mergeCell ref="A1:F1"/>
    <mergeCell ref="A2:F2"/>
    <mergeCell ref="A3:F3"/>
  </mergeCells>
  <printOptions gridLines="1"/>
  <pageMargins left="0.25" right="0.25" top="0.75" bottom="0.75" header="0.3" footer="0.3"/>
  <pageSetup scale="62" fitToHeight="0" orientation="landscape" r:id="rId1"/>
  <ignoredErrors>
    <ignoredError sqref="B436"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2075-3E8C-42A8-983A-B0DB17D4F34C}">
  <sheetPr codeName="Sheet22">
    <tabColor rgb="FFFFFF00"/>
    <pageSetUpPr fitToPage="1"/>
  </sheetPr>
  <dimension ref="A1:S188"/>
  <sheetViews>
    <sheetView zoomScale="85" zoomScaleNormal="85" workbookViewId="0">
      <selection activeCell="F28" sqref="F28"/>
    </sheetView>
  </sheetViews>
  <sheetFormatPr defaultRowHeight="15" x14ac:dyDescent="0.25"/>
  <cols>
    <col min="1" max="1" width="58.7109375" bestFit="1" customWidth="1"/>
    <col min="2" max="2" width="23.42578125" customWidth="1"/>
    <col min="3" max="3" width="18" customWidth="1"/>
    <col min="4" max="4" width="15.7109375" customWidth="1"/>
    <col min="5" max="5" width="13.28515625" customWidth="1"/>
    <col min="6" max="6" width="19.5703125" bestFit="1" customWidth="1"/>
    <col min="7" max="7" width="15.7109375" customWidth="1"/>
    <col min="8" max="8" width="22.5703125" customWidth="1"/>
    <col min="9" max="9" width="12.85546875" customWidth="1"/>
    <col min="10" max="10" width="17.7109375" customWidth="1"/>
    <col min="11" max="11" width="10.5703125" bestFit="1" customWidth="1"/>
    <col min="12" max="12" width="5.42578125" bestFit="1" customWidth="1"/>
    <col min="13" max="13" width="11.5703125" customWidth="1"/>
    <col min="14" max="14" width="9.85546875" customWidth="1"/>
    <col min="15" max="15" width="15.28515625" customWidth="1"/>
    <col min="16" max="16" width="5.42578125" customWidth="1"/>
    <col min="19" max="19" width="16.85546875" customWidth="1"/>
    <col min="21" max="21" width="85.7109375" bestFit="1" customWidth="1"/>
  </cols>
  <sheetData>
    <row r="1" spans="1:12" s="44" customFormat="1" ht="15.75" x14ac:dyDescent="0.25">
      <c r="A1" s="926" t="str">
        <f>Description!A1</f>
        <v>Montana Resources, LLC</v>
      </c>
      <c r="B1" s="926"/>
      <c r="C1" s="926"/>
      <c r="D1" s="926"/>
      <c r="E1" s="926"/>
      <c r="F1" s="926"/>
    </row>
    <row r="2" spans="1:12" ht="15.75" x14ac:dyDescent="0.25">
      <c r="A2" s="926" t="str">
        <f>Description!A2</f>
        <v>Operating Permit #00030</v>
      </c>
      <c r="B2" s="926"/>
      <c r="C2" s="926"/>
      <c r="D2" s="926"/>
      <c r="E2" s="926"/>
      <c r="F2" s="926"/>
      <c r="G2" s="44"/>
      <c r="H2" s="44"/>
      <c r="L2" s="458"/>
    </row>
    <row r="3" spans="1:12" ht="15.75" x14ac:dyDescent="0.25">
      <c r="A3" s="926" t="str">
        <f>Description!A3</f>
        <v>Final Comprehensive 5-Year Bond Review</v>
      </c>
      <c r="B3" s="926"/>
      <c r="C3" s="926"/>
      <c r="D3" s="926"/>
      <c r="E3" s="926"/>
      <c r="F3" s="926"/>
      <c r="G3" s="44"/>
      <c r="H3" s="44"/>
      <c r="L3" s="458"/>
    </row>
    <row r="4" spans="1:12" ht="15.6" customHeight="1" x14ac:dyDescent="0.25">
      <c r="A4" s="925">
        <f>Description!A4</f>
        <v>46146</v>
      </c>
      <c r="B4" s="925"/>
      <c r="C4" s="925"/>
      <c r="D4" s="925"/>
      <c r="E4" s="925"/>
      <c r="F4" s="925"/>
      <c r="G4" s="44"/>
      <c r="H4" s="44"/>
      <c r="L4" s="458"/>
    </row>
    <row r="5" spans="1:12" ht="15.75" x14ac:dyDescent="0.25">
      <c r="A5" s="44"/>
      <c r="B5" s="44"/>
      <c r="C5" s="44"/>
      <c r="D5" s="44"/>
      <c r="E5" s="44"/>
      <c r="F5" s="44"/>
      <c r="G5" s="44"/>
      <c r="H5" s="44"/>
      <c r="L5" s="458"/>
    </row>
    <row r="6" spans="1:12" ht="15.75" x14ac:dyDescent="0.25">
      <c r="A6" s="914" t="s">
        <v>1324</v>
      </c>
      <c r="B6" s="914"/>
      <c r="C6" s="914"/>
      <c r="D6" s="914"/>
      <c r="E6" s="914"/>
      <c r="F6" s="914"/>
      <c r="G6" s="914"/>
      <c r="H6" s="914"/>
      <c r="I6" s="3"/>
      <c r="J6" s="3"/>
      <c r="K6" s="3"/>
      <c r="L6" s="3"/>
    </row>
    <row r="7" spans="1:12" x14ac:dyDescent="0.25">
      <c r="A7" s="3"/>
      <c r="B7" s="14"/>
      <c r="C7" s="14"/>
      <c r="D7" s="14"/>
      <c r="E7" s="14"/>
      <c r="F7" s="14"/>
      <c r="G7" s="14"/>
      <c r="H7" s="14"/>
      <c r="I7" s="3"/>
      <c r="J7" s="3"/>
    </row>
    <row r="8" spans="1:12" x14ac:dyDescent="0.25">
      <c r="A8" s="464" t="s">
        <v>56</v>
      </c>
      <c r="B8" s="464"/>
      <c r="C8" s="464"/>
      <c r="D8" s="464"/>
      <c r="E8" s="464"/>
      <c r="F8" s="464"/>
      <c r="G8" s="103"/>
      <c r="H8" s="104" t="s">
        <v>240</v>
      </c>
    </row>
    <row r="9" spans="1:12" x14ac:dyDescent="0.25">
      <c r="K9" s="3"/>
      <c r="L9" s="3"/>
    </row>
    <row r="10" spans="1:12" x14ac:dyDescent="0.25">
      <c r="A10" s="456" t="s">
        <v>1930</v>
      </c>
      <c r="B10" s="30"/>
      <c r="C10" s="30"/>
      <c r="D10" s="101"/>
      <c r="E10" s="41"/>
      <c r="F10" s="42"/>
      <c r="G10" s="102"/>
      <c r="H10" s="73"/>
    </row>
    <row r="11" spans="1:12" x14ac:dyDescent="0.25">
      <c r="A11" s="460" t="s">
        <v>1800</v>
      </c>
      <c r="B11" s="131"/>
      <c r="D11" s="33">
        <f>E102</f>
        <v>450028.80000000005</v>
      </c>
      <c r="E11" s="35"/>
      <c r="G11" s="102"/>
      <c r="H11" s="73" t="s">
        <v>1801</v>
      </c>
    </row>
    <row r="12" spans="1:12" x14ac:dyDescent="0.25">
      <c r="A12" s="460" t="s">
        <v>1804</v>
      </c>
      <c r="B12" s="131"/>
      <c r="D12" s="33">
        <f>E112</f>
        <v>130332</v>
      </c>
      <c r="E12" s="35"/>
      <c r="G12" s="102"/>
      <c r="H12" s="73" t="s">
        <v>1947</v>
      </c>
    </row>
    <row r="13" spans="1:12" x14ac:dyDescent="0.25">
      <c r="A13" s="460" t="s">
        <v>1811</v>
      </c>
      <c r="D13" s="33"/>
      <c r="H13" s="38"/>
    </row>
    <row r="14" spans="1:12" s="73" customFormat="1" x14ac:dyDescent="0.25">
      <c r="A14" s="322" t="s">
        <v>1069</v>
      </c>
      <c r="D14" s="415">
        <f>'4-Other'!$F$34</f>
        <v>25000</v>
      </c>
      <c r="E14" s="237"/>
      <c r="J14"/>
    </row>
    <row r="15" spans="1:12" x14ac:dyDescent="0.25">
      <c r="A15" s="492" t="s">
        <v>1070</v>
      </c>
      <c r="B15" s="93"/>
      <c r="D15" s="372">
        <f>'4-Other'!$F$550</f>
        <v>92686.319999999992</v>
      </c>
      <c r="E15" s="35"/>
      <c r="G15" s="899"/>
      <c r="H15" s="73"/>
    </row>
    <row r="16" spans="1:12" x14ac:dyDescent="0.25">
      <c r="A16" s="492" t="s">
        <v>1072</v>
      </c>
      <c r="D16" s="372">
        <v>0</v>
      </c>
      <c r="E16" s="899"/>
      <c r="F16" t="s">
        <v>2195</v>
      </c>
      <c r="G16" s="899"/>
    </row>
    <row r="17" spans="1:10" x14ac:dyDescent="0.25">
      <c r="A17" s="460" t="s">
        <v>1941</v>
      </c>
      <c r="B17" s="93"/>
      <c r="D17" s="372">
        <f>'4-Other'!$D$698</f>
        <v>120818.88</v>
      </c>
      <c r="E17" s="35"/>
      <c r="G17" s="899"/>
      <c r="H17" s="73"/>
    </row>
    <row r="18" spans="1:10" x14ac:dyDescent="0.25">
      <c r="A18" s="460" t="s">
        <v>1848</v>
      </c>
      <c r="B18" s="131"/>
      <c r="D18" s="33">
        <f>'4-Other'!D556</f>
        <v>18444</v>
      </c>
      <c r="E18" s="35"/>
      <c r="G18" s="102"/>
      <c r="H18" s="73" t="s">
        <v>1849</v>
      </c>
      <c r="J18" s="497"/>
    </row>
    <row r="19" spans="1:10" x14ac:dyDescent="0.25">
      <c r="B19" s="93"/>
      <c r="D19" s="33"/>
      <c r="E19" s="35"/>
      <c r="G19" s="102"/>
      <c r="H19" s="73"/>
    </row>
    <row r="20" spans="1:10" x14ac:dyDescent="0.25">
      <c r="A20" s="621" t="s">
        <v>1931</v>
      </c>
      <c r="B20" s="30"/>
      <c r="C20" s="30"/>
      <c r="D20" s="42"/>
      <c r="E20" s="41"/>
      <c r="F20" s="41"/>
      <c r="G20" s="102"/>
      <c r="H20" s="73"/>
    </row>
    <row r="21" spans="1:10" x14ac:dyDescent="0.25">
      <c r="A21" s="460" t="s">
        <v>1815</v>
      </c>
      <c r="B21" s="93" t="s">
        <v>1816</v>
      </c>
      <c r="D21" s="33">
        <f>'4-Other'!D557</f>
        <v>44829.599999999999</v>
      </c>
      <c r="E21" s="35"/>
      <c r="G21" s="102"/>
      <c r="H21" s="73"/>
    </row>
    <row r="22" spans="1:10" x14ac:dyDescent="0.25">
      <c r="A22" s="460" t="s">
        <v>1772</v>
      </c>
      <c r="B22" s="93" t="s">
        <v>1816</v>
      </c>
      <c r="D22" s="629">
        <f>B148</f>
        <v>44.930815500076413</v>
      </c>
      <c r="E22" s="35" t="s">
        <v>2183</v>
      </c>
      <c r="G22" s="102"/>
      <c r="H22" s="73" t="s">
        <v>1923</v>
      </c>
    </row>
    <row r="23" spans="1:10" x14ac:dyDescent="0.25">
      <c r="A23" s="492" t="s">
        <v>1844</v>
      </c>
      <c r="B23" s="93" t="s">
        <v>1845</v>
      </c>
      <c r="D23" s="33">
        <f>'2-Earthmoving'!S106</f>
        <v>6388.0255707140432</v>
      </c>
      <c r="E23" s="35"/>
      <c r="G23" s="102"/>
      <c r="H23" s="73"/>
    </row>
    <row r="24" spans="1:10" x14ac:dyDescent="0.25">
      <c r="A24" s="492" t="s">
        <v>1846</v>
      </c>
      <c r="B24" s="93"/>
      <c r="D24" s="33">
        <f>'2-Earthmoving'!R113/5</f>
        <v>398767.94767305098</v>
      </c>
      <c r="E24" s="35"/>
      <c r="G24" s="102"/>
      <c r="H24" s="73"/>
    </row>
    <row r="25" spans="1:10" x14ac:dyDescent="0.25">
      <c r="A25" s="492" t="s">
        <v>1847</v>
      </c>
      <c r="B25" s="93"/>
      <c r="D25" s="33">
        <f>'3-Revegetation'!I16</f>
        <v>67396.223250114621</v>
      </c>
      <c r="E25" s="35"/>
      <c r="G25" s="102"/>
      <c r="H25" s="73" t="s">
        <v>1920</v>
      </c>
    </row>
    <row r="26" spans="1:10" x14ac:dyDescent="0.25">
      <c r="A26" s="492" t="s">
        <v>1814</v>
      </c>
      <c r="B26" s="93"/>
      <c r="D26" s="33">
        <f>'4-Other'!$D$765</f>
        <v>41966.880000000005</v>
      </c>
      <c r="E26" s="35"/>
      <c r="G26" s="102"/>
      <c r="H26" s="73" t="s">
        <v>1920</v>
      </c>
    </row>
    <row r="27" spans="1:10" x14ac:dyDescent="0.25">
      <c r="A27" s="460" t="s">
        <v>2179</v>
      </c>
      <c r="D27" s="90">
        <f>E139</f>
        <v>9.0700489229407726</v>
      </c>
      <c r="E27" s="35" t="s">
        <v>2183</v>
      </c>
      <c r="H27" s="73" t="s">
        <v>2182</v>
      </c>
    </row>
    <row r="28" spans="1:10" x14ac:dyDescent="0.25">
      <c r="A28" s="492" t="s">
        <v>1847</v>
      </c>
      <c r="B28" s="93" t="s">
        <v>1816</v>
      </c>
      <c r="D28" s="372">
        <f>'3-Revegetation'!I17</f>
        <v>13605.073384411158</v>
      </c>
      <c r="E28" s="35"/>
      <c r="G28" s="899"/>
      <c r="H28" t="s">
        <v>1920</v>
      </c>
    </row>
    <row r="29" spans="1:10" x14ac:dyDescent="0.25">
      <c r="A29" s="460" t="s">
        <v>1808</v>
      </c>
      <c r="B29" s="131"/>
      <c r="D29" s="372"/>
      <c r="E29" s="35"/>
      <c r="G29" s="45" t="s">
        <v>2186</v>
      </c>
    </row>
    <row r="30" spans="1:10" x14ac:dyDescent="0.25">
      <c r="A30" s="492" t="s">
        <v>2110</v>
      </c>
      <c r="D30" s="372">
        <f>$F$163/5</f>
        <v>21260.295176689102</v>
      </c>
      <c r="G30" s="705">
        <v>16812</v>
      </c>
      <c r="H30" t="s">
        <v>2111</v>
      </c>
    </row>
    <row r="31" spans="1:10" x14ac:dyDescent="0.25">
      <c r="A31" s="492"/>
      <c r="D31" s="372"/>
    </row>
    <row r="32" spans="1:10" x14ac:dyDescent="0.25">
      <c r="A32" s="492"/>
      <c r="D32" s="33"/>
    </row>
    <row r="33" spans="1:11" s="2" customFormat="1" ht="15.75" thickBot="1" x14ac:dyDescent="0.3">
      <c r="A33" s="50" t="s">
        <v>1939</v>
      </c>
      <c r="B33" s="49"/>
      <c r="C33" s="49"/>
      <c r="D33" s="49"/>
      <c r="E33" s="49"/>
      <c r="F33" s="49"/>
      <c r="G33"/>
      <c r="H33"/>
      <c r="I33"/>
      <c r="J33"/>
      <c r="K33" s="3"/>
    </row>
    <row r="34" spans="1:11" ht="15.75" thickBot="1" x14ac:dyDescent="0.3">
      <c r="A34" s="375" t="s">
        <v>1938</v>
      </c>
      <c r="B34" s="36" t="s">
        <v>1843</v>
      </c>
      <c r="C34" s="30"/>
      <c r="D34" s="973" t="s">
        <v>1842</v>
      </c>
      <c r="E34" s="975"/>
      <c r="F34" s="697">
        <f>Summary!$C$18</f>
        <v>0.02</v>
      </c>
      <c r="G34" s="102"/>
      <c r="H34" s="73"/>
    </row>
    <row r="35" spans="1:11" x14ac:dyDescent="0.25">
      <c r="A35" s="460" t="s">
        <v>1817</v>
      </c>
      <c r="B35" s="93">
        <v>5</v>
      </c>
      <c r="D35" s="4">
        <f>SUM($D$11:$D$19)</f>
        <v>837310</v>
      </c>
      <c r="E35" s="499">
        <f>((D35)/((1+$F$34)^B35))-D35</f>
        <v>-78932.535621313145</v>
      </c>
      <c r="F35" s="33">
        <f>D35+E35</f>
        <v>758377.46437868685</v>
      </c>
      <c r="G35" s="102"/>
      <c r="H35" s="73"/>
    </row>
    <row r="36" spans="1:11" x14ac:dyDescent="0.25">
      <c r="A36" s="460" t="s">
        <v>1818</v>
      </c>
      <c r="B36" s="93">
        <v>6</v>
      </c>
      <c r="D36" s="4">
        <f>SUM($D$11:$D$19)</f>
        <v>837310</v>
      </c>
      <c r="E36" s="499">
        <f t="shared" ref="E36:E54" si="0">((D36)/((1+$F$34)^B36))-D36</f>
        <v>-93802.681981679518</v>
      </c>
      <c r="F36" s="33">
        <f t="shared" ref="F36:F58" si="1">D36+E36</f>
        <v>743507.31801832048</v>
      </c>
      <c r="G36" s="102"/>
      <c r="H36" s="73"/>
    </row>
    <row r="37" spans="1:11" x14ac:dyDescent="0.25">
      <c r="A37" s="460" t="s">
        <v>1819</v>
      </c>
      <c r="B37" s="93">
        <v>7</v>
      </c>
      <c r="D37" s="4">
        <f>SUM($D$11:$D$19)</f>
        <v>837310</v>
      </c>
      <c r="E37" s="499">
        <f t="shared" si="0"/>
        <v>-108381.25684478378</v>
      </c>
      <c r="F37" s="33">
        <f t="shared" si="1"/>
        <v>728928.74315521622</v>
      </c>
      <c r="G37" s="102"/>
      <c r="H37" s="73"/>
    </row>
    <row r="38" spans="1:11" x14ac:dyDescent="0.25">
      <c r="A38" s="460" t="s">
        <v>1820</v>
      </c>
      <c r="B38" s="93">
        <v>8</v>
      </c>
      <c r="D38" s="4">
        <f>SUM($D$11:$D$19)</f>
        <v>837310</v>
      </c>
      <c r="E38" s="499">
        <f t="shared" si="0"/>
        <v>-122673.9772988077</v>
      </c>
      <c r="F38" s="33">
        <f t="shared" si="1"/>
        <v>714636.0227011923</v>
      </c>
      <c r="G38" s="102"/>
      <c r="H38" s="73"/>
    </row>
    <row r="39" spans="1:11" x14ac:dyDescent="0.25">
      <c r="A39" s="460" t="s">
        <v>1821</v>
      </c>
      <c r="B39" s="93">
        <v>9</v>
      </c>
      <c r="D39" s="4">
        <f>SUM($D$11:$D$19)+SUM($D$21,$D$30)</f>
        <v>903399.89517668914</v>
      </c>
      <c r="E39" s="499">
        <f t="shared" si="0"/>
        <v>-147475.27569878683</v>
      </c>
      <c r="F39" s="33">
        <f t="shared" si="1"/>
        <v>755924.61947790231</v>
      </c>
      <c r="G39" s="102"/>
      <c r="H39" s="247"/>
    </row>
    <row r="40" spans="1:11" x14ac:dyDescent="0.25">
      <c r="A40" s="460" t="s">
        <v>1822</v>
      </c>
      <c r="B40" s="93">
        <v>10</v>
      </c>
      <c r="D40" s="4">
        <f>SUM($D$11:$D$19)</f>
        <v>837310</v>
      </c>
      <c r="E40" s="499">
        <f t="shared" si="0"/>
        <v>-150424.16503153369</v>
      </c>
      <c r="F40" s="33">
        <f t="shared" si="1"/>
        <v>686885.83496846631</v>
      </c>
      <c r="G40" s="102"/>
      <c r="H40" s="73"/>
    </row>
    <row r="41" spans="1:11" x14ac:dyDescent="0.25">
      <c r="A41" s="460" t="s">
        <v>1823</v>
      </c>
      <c r="B41" s="93">
        <v>11</v>
      </c>
      <c r="D41" s="4">
        <f>SUM($D$11:$D$19)</f>
        <v>837310</v>
      </c>
      <c r="E41" s="499">
        <f t="shared" si="0"/>
        <v>-163892.51473679766</v>
      </c>
      <c r="F41" s="33">
        <f t="shared" si="1"/>
        <v>673417.48526320234</v>
      </c>
      <c r="G41" s="102"/>
      <c r="H41" s="73"/>
    </row>
    <row r="42" spans="1:11" x14ac:dyDescent="0.25">
      <c r="A42" s="460" t="s">
        <v>1824</v>
      </c>
      <c r="B42" s="93">
        <v>12</v>
      </c>
      <c r="D42" s="4">
        <f>SUM($D$11:$D$19)</f>
        <v>837310</v>
      </c>
      <c r="E42" s="499">
        <f t="shared" si="0"/>
        <v>-177096.77915372327</v>
      </c>
      <c r="F42" s="33">
        <f t="shared" si="1"/>
        <v>660213.22084627673</v>
      </c>
      <c r="G42" s="102"/>
      <c r="H42" s="73"/>
    </row>
    <row r="43" spans="1:11" x14ac:dyDescent="0.25">
      <c r="A43" s="460" t="s">
        <v>1825</v>
      </c>
      <c r="B43" s="93">
        <v>13</v>
      </c>
      <c r="D43" s="4">
        <f>SUM($D$11:$D$19)</f>
        <v>837310</v>
      </c>
      <c r="E43" s="499">
        <f t="shared" si="0"/>
        <v>-190042.13642521889</v>
      </c>
      <c r="F43" s="33">
        <f t="shared" si="1"/>
        <v>647267.86357478111</v>
      </c>
      <c r="G43" s="102"/>
      <c r="H43" s="73"/>
    </row>
    <row r="44" spans="1:11" x14ac:dyDescent="0.25">
      <c r="A44" s="460" t="s">
        <v>1826</v>
      </c>
      <c r="B44" s="93">
        <v>14</v>
      </c>
      <c r="D44" s="4">
        <f>SUM($D$11:$D$19)+SUM($D$21,$D$30)</f>
        <v>903399.89517668914</v>
      </c>
      <c r="E44" s="499">
        <f t="shared" si="0"/>
        <v>-218735.67740659777</v>
      </c>
      <c r="F44" s="33">
        <f t="shared" si="1"/>
        <v>684664.21777009137</v>
      </c>
      <c r="G44" s="102"/>
      <c r="H44" s="73"/>
    </row>
    <row r="45" spans="1:11" x14ac:dyDescent="0.25">
      <c r="A45" s="460" t="s">
        <v>1827</v>
      </c>
      <c r="B45" s="93">
        <v>15</v>
      </c>
      <c r="D45" s="4">
        <f>SUM($D$11:$D$19)</f>
        <v>837310</v>
      </c>
      <c r="E45" s="499">
        <f t="shared" si="0"/>
        <v>-215176.33643331297</v>
      </c>
      <c r="F45" s="33">
        <f t="shared" si="1"/>
        <v>622133.66356668703</v>
      </c>
      <c r="G45" s="102"/>
      <c r="H45" s="73"/>
    </row>
    <row r="46" spans="1:11" x14ac:dyDescent="0.25">
      <c r="A46" s="460" t="s">
        <v>1828</v>
      </c>
      <c r="B46" s="93">
        <v>16</v>
      </c>
      <c r="D46" s="4">
        <f>SUM($D$11:$D$19)</f>
        <v>837310</v>
      </c>
      <c r="E46" s="499">
        <f t="shared" si="0"/>
        <v>-227375.03571893438</v>
      </c>
      <c r="F46" s="33">
        <f t="shared" si="1"/>
        <v>609934.96428106562</v>
      </c>
      <c r="G46" s="102"/>
      <c r="H46" s="73"/>
    </row>
    <row r="47" spans="1:11" x14ac:dyDescent="0.25">
      <c r="A47" s="460" t="s">
        <v>1829</v>
      </c>
      <c r="B47" s="93">
        <v>17</v>
      </c>
      <c r="D47" s="4">
        <f>SUM($D$11:$D$19)</f>
        <v>837310</v>
      </c>
      <c r="E47" s="499">
        <f t="shared" si="0"/>
        <v>-239334.54482248472</v>
      </c>
      <c r="F47" s="33">
        <f t="shared" si="1"/>
        <v>597975.45517751528</v>
      </c>
      <c r="G47" s="102"/>
      <c r="H47" s="73"/>
    </row>
    <row r="48" spans="1:11" x14ac:dyDescent="0.25">
      <c r="A48" s="460" t="s">
        <v>1830</v>
      </c>
      <c r="B48" s="93">
        <v>18</v>
      </c>
      <c r="D48" s="4">
        <f>SUM($D$11:$D$19)</f>
        <v>837310</v>
      </c>
      <c r="E48" s="499">
        <f t="shared" si="0"/>
        <v>-251059.55374753394</v>
      </c>
      <c r="F48" s="33">
        <f t="shared" si="1"/>
        <v>586250.44625246606</v>
      </c>
      <c r="G48" s="102"/>
      <c r="H48" s="73"/>
    </row>
    <row r="49" spans="1:8" x14ac:dyDescent="0.25">
      <c r="A49" s="460" t="s">
        <v>1831</v>
      </c>
      <c r="B49" s="93">
        <v>19</v>
      </c>
      <c r="D49" s="4">
        <f>SUM($D$11:$D$19)+SUM($D$21,$D$30)</f>
        <v>903399.89517668914</v>
      </c>
      <c r="E49" s="499">
        <f t="shared" si="0"/>
        <v>-283278.41875421826</v>
      </c>
      <c r="F49" s="33">
        <f t="shared" si="1"/>
        <v>620121.47642247088</v>
      </c>
      <c r="G49" s="102"/>
      <c r="H49" s="73"/>
    </row>
    <row r="50" spans="1:8" x14ac:dyDescent="0.25">
      <c r="A50" s="460" t="s">
        <v>1832</v>
      </c>
      <c r="B50" s="93">
        <v>20</v>
      </c>
      <c r="D50" s="4">
        <f>SUM($D$11:$D$19)</f>
        <v>837310</v>
      </c>
      <c r="E50" s="499">
        <f t="shared" si="0"/>
        <v>-273824.37307529221</v>
      </c>
      <c r="F50" s="33">
        <f t="shared" si="1"/>
        <v>563485.62692470779</v>
      </c>
      <c r="G50" s="102"/>
      <c r="H50" s="73"/>
    </row>
    <row r="51" spans="1:8" x14ac:dyDescent="0.25">
      <c r="A51" s="460" t="s">
        <v>1833</v>
      </c>
      <c r="B51" s="93">
        <v>21</v>
      </c>
      <c r="D51" s="4">
        <f>SUM($D$11:$D$19)</f>
        <v>837310</v>
      </c>
      <c r="E51" s="499">
        <f t="shared" si="0"/>
        <v>-284873.11085812957</v>
      </c>
      <c r="F51" s="33">
        <f t="shared" si="1"/>
        <v>552436.88914187043</v>
      </c>
      <c r="G51" s="102"/>
      <c r="H51" s="73"/>
    </row>
    <row r="52" spans="1:8" x14ac:dyDescent="0.25">
      <c r="A52" s="460" t="s">
        <v>1834</v>
      </c>
      <c r="B52" s="93">
        <v>22</v>
      </c>
      <c r="D52" s="4">
        <f>SUM($D$11:$D$19)</f>
        <v>837310</v>
      </c>
      <c r="E52" s="499">
        <f t="shared" si="0"/>
        <v>-295705.20672365651</v>
      </c>
      <c r="F52" s="33">
        <f t="shared" si="1"/>
        <v>541604.79327634349</v>
      </c>
      <c r="G52" s="102"/>
      <c r="H52" s="73"/>
    </row>
    <row r="53" spans="1:8" x14ac:dyDescent="0.25">
      <c r="A53" s="460" t="s">
        <v>1835</v>
      </c>
      <c r="B53" s="93">
        <v>23</v>
      </c>
      <c r="D53" s="4">
        <f>SUM($D$11:$D$19)</f>
        <v>837310</v>
      </c>
      <c r="E53" s="499">
        <f t="shared" si="0"/>
        <v>-306324.90855260426</v>
      </c>
      <c r="F53" s="33">
        <f t="shared" si="1"/>
        <v>530985.09144739574</v>
      </c>
      <c r="G53" s="102"/>
      <c r="H53" s="73"/>
    </row>
    <row r="54" spans="1:8" x14ac:dyDescent="0.25">
      <c r="A54" s="460" t="s">
        <v>1836</v>
      </c>
      <c r="B54" s="93">
        <v>24</v>
      </c>
      <c r="D54" s="4">
        <f>SUM($D$11:$D$19)+SUM($D$21,$D$30)</f>
        <v>903399.89517668914</v>
      </c>
      <c r="E54" s="499">
        <f t="shared" si="0"/>
        <v>-341736.76814364141</v>
      </c>
      <c r="F54" s="33">
        <f t="shared" si="1"/>
        <v>561663.12703304773</v>
      </c>
      <c r="G54" s="102"/>
      <c r="H54" s="73"/>
    </row>
    <row r="55" spans="1:8" x14ac:dyDescent="0.25">
      <c r="A55" s="460" t="s">
        <v>1837</v>
      </c>
      <c r="B55" s="93">
        <v>25</v>
      </c>
      <c r="D55" s="4">
        <f>SUM($D$11:$D$19)</f>
        <v>837310</v>
      </c>
      <c r="E55" s="499">
        <f>((D55)/((1+$F$34)^B55))-D55</f>
        <v>-326943.70679796644</v>
      </c>
      <c r="F55" s="33">
        <f t="shared" si="1"/>
        <v>510366.29320203356</v>
      </c>
      <c r="G55" s="102"/>
      <c r="H55" s="73"/>
    </row>
    <row r="56" spans="1:8" x14ac:dyDescent="0.25">
      <c r="A56" s="460" t="s">
        <v>1838</v>
      </c>
      <c r="B56" s="93">
        <v>26</v>
      </c>
      <c r="D56" s="4">
        <f>SUM($D$11:$D$19)</f>
        <v>837310</v>
      </c>
      <c r="E56" s="499">
        <f t="shared" ref="E56:E62" si="2">((D56)/((1+$F$34)^B56))-D56</f>
        <v>-336950.88901761424</v>
      </c>
      <c r="F56" s="33">
        <f t="shared" si="1"/>
        <v>500359.11098238576</v>
      </c>
      <c r="G56" s="102"/>
      <c r="H56" s="73"/>
    </row>
    <row r="57" spans="1:8" x14ac:dyDescent="0.25">
      <c r="A57" s="460" t="s">
        <v>1839</v>
      </c>
      <c r="B57" s="93">
        <v>27</v>
      </c>
      <c r="D57" s="4">
        <f>SUM($D$11:$D$19)</f>
        <v>837310</v>
      </c>
      <c r="E57" s="499">
        <f t="shared" si="2"/>
        <v>-346761.85197805305</v>
      </c>
      <c r="F57" s="33">
        <f t="shared" si="1"/>
        <v>490548.14802194695</v>
      </c>
      <c r="G57" s="102"/>
      <c r="H57" s="73"/>
    </row>
    <row r="58" spans="1:8" x14ac:dyDescent="0.25">
      <c r="A58" s="460" t="s">
        <v>1840</v>
      </c>
      <c r="B58" s="93">
        <v>28</v>
      </c>
      <c r="D58" s="4">
        <f>SUM($D$11:$D$19)</f>
        <v>837310</v>
      </c>
      <c r="E58" s="499">
        <f t="shared" si="2"/>
        <v>-356380.4431157384</v>
      </c>
      <c r="F58" s="33">
        <f t="shared" si="1"/>
        <v>480929.5568842616</v>
      </c>
      <c r="G58" s="102"/>
      <c r="H58" s="73"/>
    </row>
    <row r="59" spans="1:8" x14ac:dyDescent="0.25">
      <c r="A59" s="460" t="s">
        <v>1841</v>
      </c>
      <c r="B59" s="93">
        <v>29</v>
      </c>
      <c r="D59" s="4">
        <f>SUM($D$11:$D$19)+SUM($D$21,$D$30)</f>
        <v>903399.89517668914</v>
      </c>
      <c r="E59" s="499">
        <f t="shared" si="2"/>
        <v>-394684.29627744394</v>
      </c>
      <c r="F59" s="33">
        <f>D59+E59</f>
        <v>508715.5988992452</v>
      </c>
      <c r="G59" s="102"/>
      <c r="H59" s="73"/>
    </row>
    <row r="60" spans="1:8" x14ac:dyDescent="0.25">
      <c r="A60" s="460" t="s">
        <v>1921</v>
      </c>
      <c r="B60" s="93">
        <v>30</v>
      </c>
      <c r="D60" s="4">
        <f>SUM($D$11:$D$19)</f>
        <v>837310</v>
      </c>
      <c r="E60" s="499">
        <f t="shared" si="2"/>
        <v>-375055.52394822985</v>
      </c>
      <c r="F60" s="33">
        <f>D60+E60</f>
        <v>462254.47605177015</v>
      </c>
      <c r="G60" s="102"/>
      <c r="H60" s="73"/>
    </row>
    <row r="61" spans="1:8" x14ac:dyDescent="0.25">
      <c r="A61" s="460" t="s">
        <v>1922</v>
      </c>
      <c r="B61" s="93">
        <v>31</v>
      </c>
      <c r="D61" s="4">
        <f>SUM($D$11:$D$19)</f>
        <v>837310</v>
      </c>
      <c r="E61" s="499">
        <f t="shared" si="2"/>
        <v>-384119.33720414684</v>
      </c>
      <c r="F61" s="33">
        <f>D61+E61</f>
        <v>453190.66279585316</v>
      </c>
      <c r="G61" s="102"/>
      <c r="H61" s="73"/>
    </row>
    <row r="62" spans="1:8" x14ac:dyDescent="0.25">
      <c r="A62" s="460" t="s">
        <v>1897</v>
      </c>
      <c r="B62" s="93">
        <v>32</v>
      </c>
      <c r="D62" s="4">
        <f>SUM($D$11:$D$21)</f>
        <v>882139.6</v>
      </c>
      <c r="E62" s="499">
        <f t="shared" si="2"/>
        <v>-414046.94988813531</v>
      </c>
      <c r="F62" s="33">
        <f>D62+E62</f>
        <v>468092.65011186467</v>
      </c>
      <c r="G62" s="102" t="s">
        <v>1925</v>
      </c>
      <c r="H62" s="73"/>
    </row>
    <row r="63" spans="1:8" ht="15.75" thickBot="1" x14ac:dyDescent="0.3">
      <c r="A63" s="460"/>
      <c r="B63" s="93"/>
      <c r="D63" s="4"/>
      <c r="E63" s="499"/>
      <c r="F63" s="33"/>
      <c r="G63" s="102"/>
      <c r="H63" s="73"/>
    </row>
    <row r="64" spans="1:8" ht="15.75" thickBot="1" x14ac:dyDescent="0.3">
      <c r="A64" s="630" t="s">
        <v>1937</v>
      </c>
      <c r="B64" s="36" t="s">
        <v>1843</v>
      </c>
      <c r="C64" s="30"/>
      <c r="D64" s="973" t="s">
        <v>1842</v>
      </c>
      <c r="E64" s="974"/>
      <c r="F64" s="697">
        <f>Summary!$C$18</f>
        <v>0.02</v>
      </c>
      <c r="G64" s="633"/>
      <c r="H64" s="73" t="s">
        <v>1940</v>
      </c>
    </row>
    <row r="65" spans="1:19" x14ac:dyDescent="0.25">
      <c r="A65" s="460" t="s">
        <v>1821</v>
      </c>
      <c r="B65" s="93">
        <v>9</v>
      </c>
      <c r="D65" s="4">
        <f>SUM($D$23:$D$26,$D$28)</f>
        <v>528124.14987829083</v>
      </c>
      <c r="E65" s="217">
        <f t="shared" ref="E65:E70" si="3">((D65)/((1+$F$34)^B65))-D65</f>
        <v>-86213.486433109851</v>
      </c>
      <c r="F65" s="33">
        <f t="shared" ref="F65:F70" si="4">D65+E65</f>
        <v>441910.66344518098</v>
      </c>
      <c r="G65" s="102"/>
      <c r="H65" s="73"/>
    </row>
    <row r="66" spans="1:19" x14ac:dyDescent="0.25">
      <c r="A66" s="460" t="s">
        <v>1826</v>
      </c>
      <c r="B66" s="93">
        <v>14</v>
      </c>
      <c r="D66" s="4">
        <f>SUM($D$23:$D$26,$D$28)</f>
        <v>528124.14987829083</v>
      </c>
      <c r="E66" s="217">
        <f t="shared" si="3"/>
        <v>-127872.04680361168</v>
      </c>
      <c r="F66" s="33">
        <f t="shared" si="4"/>
        <v>400252.10307467915</v>
      </c>
      <c r="G66" s="102"/>
      <c r="H66" s="73"/>
    </row>
    <row r="67" spans="1:19" x14ac:dyDescent="0.25">
      <c r="A67" s="460" t="s">
        <v>1831</v>
      </c>
      <c r="B67" s="93">
        <v>19</v>
      </c>
      <c r="D67" s="4">
        <f>SUM($D$23:$D$26,$D$28)</f>
        <v>528124.14987829083</v>
      </c>
      <c r="E67" s="217">
        <f t="shared" si="3"/>
        <v>-165603.48842433468</v>
      </c>
      <c r="F67" s="33">
        <f t="shared" si="4"/>
        <v>362520.66145395616</v>
      </c>
      <c r="G67" s="102"/>
      <c r="H67" s="73"/>
    </row>
    <row r="68" spans="1:19" x14ac:dyDescent="0.25">
      <c r="A68" s="460" t="s">
        <v>1836</v>
      </c>
      <c r="B68" s="93">
        <v>24</v>
      </c>
      <c r="D68" s="4">
        <f>SUM($D$23:$D$26,$D$28)</f>
        <v>528124.14987829083</v>
      </c>
      <c r="E68" s="217">
        <f t="shared" si="3"/>
        <v>-199778.01759952231</v>
      </c>
      <c r="F68" s="33">
        <f t="shared" si="4"/>
        <v>328346.13227876852</v>
      </c>
      <c r="G68" s="102"/>
      <c r="H68" s="73"/>
    </row>
    <row r="69" spans="1:19" x14ac:dyDescent="0.25">
      <c r="A69" s="460" t="s">
        <v>1841</v>
      </c>
      <c r="B69" s="93">
        <v>29</v>
      </c>
      <c r="D69" s="4">
        <f>SUM($D$23:$D$26,$D$28)</f>
        <v>528124.14987829083</v>
      </c>
      <c r="E69" s="217">
        <f t="shared" si="3"/>
        <v>-230730.94158492115</v>
      </c>
      <c r="F69" s="33">
        <f t="shared" si="4"/>
        <v>297393.20829336968</v>
      </c>
      <c r="G69" s="102"/>
      <c r="H69" s="73"/>
    </row>
    <row r="70" spans="1:19" x14ac:dyDescent="0.25">
      <c r="A70" s="460" t="s">
        <v>1897</v>
      </c>
      <c r="B70" s="93">
        <v>32</v>
      </c>
      <c r="D70" s="166">
        <f>SUM($D$23:$D$26,D28)*(3/5)</f>
        <v>316874.48992697446</v>
      </c>
      <c r="E70" s="217">
        <f t="shared" si="3"/>
        <v>-148730.33253650833</v>
      </c>
      <c r="F70" s="33">
        <f t="shared" si="4"/>
        <v>168144.15739046613</v>
      </c>
      <c r="G70" s="102"/>
      <c r="H70" s="73" t="s">
        <v>2184</v>
      </c>
    </row>
    <row r="71" spans="1:19" x14ac:dyDescent="0.25">
      <c r="B71" s="93"/>
      <c r="D71" s="4"/>
      <c r="E71" s="35"/>
      <c r="F71" s="33"/>
      <c r="G71" s="102"/>
      <c r="H71" s="73"/>
    </row>
    <row r="72" spans="1:19" x14ac:dyDescent="0.25">
      <c r="B72" s="93"/>
      <c r="D72" s="4"/>
      <c r="E72" s="35"/>
      <c r="F72" s="33"/>
      <c r="G72" s="633"/>
      <c r="H72" s="73"/>
      <c r="S72" s="217"/>
    </row>
    <row r="73" spans="1:19" x14ac:dyDescent="0.25">
      <c r="A73" s="50" t="s">
        <v>1936</v>
      </c>
      <c r="B73" s="49"/>
      <c r="C73" s="49"/>
      <c r="D73" s="49"/>
      <c r="E73" s="634"/>
      <c r="F73" s="65">
        <f>SUM(F35:F62)</f>
        <v>16714870.820627067</v>
      </c>
      <c r="H73" s="38"/>
      <c r="S73" s="4"/>
    </row>
    <row r="74" spans="1:19" x14ac:dyDescent="0.25">
      <c r="A74" s="50" t="s">
        <v>1935</v>
      </c>
      <c r="B74" s="49"/>
      <c r="C74" s="49"/>
      <c r="D74" s="49"/>
      <c r="E74" s="634"/>
      <c r="F74" s="65">
        <f>SUM(F65:F70)</f>
        <v>1998566.9259364207</v>
      </c>
      <c r="H74" s="38"/>
      <c r="S74" s="4"/>
    </row>
    <row r="75" spans="1:19" x14ac:dyDescent="0.25">
      <c r="E75" s="35"/>
      <c r="G75" s="635"/>
      <c r="H75" s="635"/>
      <c r="I75" s="3"/>
      <c r="J75" s="3"/>
    </row>
    <row r="76" spans="1:19" x14ac:dyDescent="0.25">
      <c r="E76" s="35"/>
      <c r="G76" s="635"/>
      <c r="H76" s="635"/>
      <c r="I76" s="3"/>
      <c r="J76" s="3"/>
    </row>
    <row r="78" spans="1:19" x14ac:dyDescent="0.25">
      <c r="A78" s="26" t="s">
        <v>782</v>
      </c>
      <c r="B78" s="30"/>
      <c r="C78" s="36"/>
      <c r="D78" s="36"/>
      <c r="E78" s="36"/>
      <c r="F78" s="30"/>
      <c r="G78" s="30"/>
      <c r="H78" s="30"/>
    </row>
    <row r="80" spans="1:19" ht="14.45" customHeight="1" x14ac:dyDescent="0.3">
      <c r="A80" s="427" t="s">
        <v>1325</v>
      </c>
      <c r="B80" s="427"/>
      <c r="C80" s="426"/>
      <c r="D80" s="426"/>
      <c r="E80" s="428"/>
      <c r="F80" s="428"/>
    </row>
    <row r="81" spans="1:5" x14ac:dyDescent="0.25">
      <c r="A81" s="455" t="s">
        <v>1326</v>
      </c>
    </row>
    <row r="82" spans="1:5" x14ac:dyDescent="0.25">
      <c r="A82" s="510" t="s">
        <v>1850</v>
      </c>
    </row>
    <row r="83" spans="1:5" x14ac:dyDescent="0.25">
      <c r="A83" s="453" t="s">
        <v>1906</v>
      </c>
    </row>
    <row r="84" spans="1:5" x14ac:dyDescent="0.25">
      <c r="A84" s="453" t="s">
        <v>1907</v>
      </c>
    </row>
    <row r="85" spans="1:5" x14ac:dyDescent="0.25">
      <c r="A85" s="455"/>
    </row>
    <row r="86" spans="1:5" x14ac:dyDescent="0.25">
      <c r="A86" s="453" t="s">
        <v>1857</v>
      </c>
    </row>
    <row r="87" spans="1:5" x14ac:dyDescent="0.25">
      <c r="A87" s="455" t="s">
        <v>1855</v>
      </c>
    </row>
    <row r="88" spans="1:5" x14ac:dyDescent="0.25">
      <c r="A88" s="455" t="s">
        <v>1856</v>
      </c>
    </row>
    <row r="89" spans="1:5" x14ac:dyDescent="0.25">
      <c r="D89" s="1" t="s">
        <v>1083</v>
      </c>
      <c r="E89" s="1" t="s">
        <v>1084</v>
      </c>
    </row>
    <row r="90" spans="1:5" x14ac:dyDescent="0.25">
      <c r="A90" s="266"/>
      <c r="B90" t="s">
        <v>1085</v>
      </c>
      <c r="D90" s="500">
        <f>'Labor Rates 2025'!$D$59</f>
        <v>230.55</v>
      </c>
      <c r="E90" s="501">
        <f>'Labor Rates 2025'!F59</f>
        <v>479544</v>
      </c>
    </row>
    <row r="91" spans="1:5" x14ac:dyDescent="0.25">
      <c r="A91" s="266"/>
      <c r="B91" t="s">
        <v>1327</v>
      </c>
      <c r="D91" s="500">
        <f>'Labor Rates 2025'!D65</f>
        <v>40</v>
      </c>
      <c r="E91" s="501">
        <f>'Labor Rates 2025'!F65</f>
        <v>83200</v>
      </c>
    </row>
    <row r="92" spans="1:5" x14ac:dyDescent="0.25">
      <c r="A92" s="266"/>
      <c r="B92" t="s">
        <v>1088</v>
      </c>
      <c r="D92" s="500">
        <f>'Labor Rates 2025'!D61</f>
        <v>82.66</v>
      </c>
      <c r="E92" s="501">
        <f>'Labor Rates 2025'!F61</f>
        <v>171932.79999999999</v>
      </c>
    </row>
    <row r="93" spans="1:5" x14ac:dyDescent="0.25">
      <c r="A93" s="266"/>
      <c r="B93" s="8" t="s">
        <v>1328</v>
      </c>
      <c r="C93" s="8"/>
      <c r="D93" s="502">
        <f>'Labor Rates 2025'!D64</f>
        <v>39.51</v>
      </c>
      <c r="E93" s="268">
        <f>'Labor Rates 2025'!F64</f>
        <v>82180.800000000003</v>
      </c>
    </row>
    <row r="94" spans="1:5" x14ac:dyDescent="0.25">
      <c r="A94" t="s">
        <v>1091</v>
      </c>
      <c r="B94" s="167"/>
      <c r="E94" s="217">
        <f>SUM(E90:E93)</f>
        <v>816857.60000000009</v>
      </c>
    </row>
    <row r="96" spans="1:5" x14ac:dyDescent="0.25">
      <c r="A96" s="453" t="s">
        <v>1908</v>
      </c>
    </row>
    <row r="97" spans="1:10" ht="60" x14ac:dyDescent="0.25">
      <c r="C97" s="521" t="s">
        <v>1917</v>
      </c>
      <c r="D97" s="522" t="s">
        <v>1084</v>
      </c>
      <c r="E97" s="521" t="s">
        <v>1094</v>
      </c>
    </row>
    <row r="98" spans="1:10" x14ac:dyDescent="0.25">
      <c r="B98" t="s">
        <v>1095</v>
      </c>
      <c r="C98" s="1">
        <v>0.5</v>
      </c>
      <c r="D98" s="501">
        <f>E90</f>
        <v>479544</v>
      </c>
      <c r="E98" s="217">
        <f>D98*C98</f>
        <v>239772</v>
      </c>
    </row>
    <row r="99" spans="1:10" x14ac:dyDescent="0.25">
      <c r="B99" t="s">
        <v>1329</v>
      </c>
      <c r="C99" s="1">
        <v>1</v>
      </c>
      <c r="D99" s="501">
        <f>E91</f>
        <v>83200</v>
      </c>
      <c r="E99" s="217">
        <f t="shared" ref="E99:E101" si="5">D99*C99</f>
        <v>83200</v>
      </c>
    </row>
    <row r="100" spans="1:10" x14ac:dyDescent="0.25">
      <c r="B100" t="s">
        <v>1088</v>
      </c>
      <c r="C100" s="1">
        <v>0.5</v>
      </c>
      <c r="D100" s="503">
        <f>E92</f>
        <v>171932.79999999999</v>
      </c>
      <c r="E100" s="217">
        <f t="shared" si="5"/>
        <v>85966.399999999994</v>
      </c>
    </row>
    <row r="101" spans="1:10" x14ac:dyDescent="0.25">
      <c r="B101" s="8" t="s">
        <v>1328</v>
      </c>
      <c r="C101" s="186">
        <v>0.5</v>
      </c>
      <c r="D101" s="268">
        <f>E93</f>
        <v>82180.800000000003</v>
      </c>
      <c r="E101" s="496">
        <f t="shared" si="5"/>
        <v>41090.400000000001</v>
      </c>
    </row>
    <row r="102" spans="1:10" x14ac:dyDescent="0.25">
      <c r="D102" s="217"/>
      <c r="E102" s="218">
        <f>SUM(E98:E101)</f>
        <v>450028.80000000005</v>
      </c>
    </row>
    <row r="104" spans="1:10" ht="45" x14ac:dyDescent="0.25">
      <c r="A104" s="455" t="s">
        <v>1097</v>
      </c>
      <c r="E104" s="187" t="s">
        <v>1330</v>
      </c>
    </row>
    <row r="105" spans="1:10" x14ac:dyDescent="0.25">
      <c r="B105" t="s">
        <v>1331</v>
      </c>
      <c r="E105" s="622">
        <f>980*12*2</f>
        <v>23520</v>
      </c>
      <c r="G105" t="s">
        <v>1812</v>
      </c>
    </row>
    <row r="106" spans="1:10" x14ac:dyDescent="0.25">
      <c r="B106" t="s">
        <v>1944</v>
      </c>
      <c r="E106" s="579">
        <f>6680*3</f>
        <v>20040</v>
      </c>
      <c r="F106" t="s">
        <v>1952</v>
      </c>
      <c r="G106" t="s">
        <v>1946</v>
      </c>
    </row>
    <row r="107" spans="1:10" x14ac:dyDescent="0.25">
      <c r="B107" t="s">
        <v>1956</v>
      </c>
      <c r="E107" s="579">
        <f>29400*1</f>
        <v>29400</v>
      </c>
      <c r="F107" t="s">
        <v>1954</v>
      </c>
      <c r="G107" t="s">
        <v>1945</v>
      </c>
    </row>
    <row r="108" spans="1:10" x14ac:dyDescent="0.25">
      <c r="B108" t="s">
        <v>1100</v>
      </c>
      <c r="E108" s="622">
        <f>1881*12</f>
        <v>22572</v>
      </c>
      <c r="G108" s="249" t="s">
        <v>1960</v>
      </c>
      <c r="I108" s="33"/>
      <c r="J108" s="33"/>
    </row>
    <row r="109" spans="1:10" x14ac:dyDescent="0.25">
      <c r="B109" t="s">
        <v>1332</v>
      </c>
      <c r="E109" s="504">
        <v>4800</v>
      </c>
      <c r="J109" s="217"/>
    </row>
    <row r="110" spans="1:10" x14ac:dyDescent="0.25">
      <c r="B110" t="s">
        <v>1101</v>
      </c>
      <c r="E110" s="504">
        <v>20000</v>
      </c>
    </row>
    <row r="111" spans="1:10" x14ac:dyDescent="0.25">
      <c r="B111" s="8" t="s">
        <v>1102</v>
      </c>
      <c r="C111" s="8"/>
      <c r="D111" s="8"/>
      <c r="E111" s="505">
        <v>10000</v>
      </c>
    </row>
    <row r="112" spans="1:10" x14ac:dyDescent="0.25">
      <c r="B112" s="167" t="s">
        <v>1103</v>
      </c>
      <c r="E112" s="418">
        <f>SUM(E105:E111)</f>
        <v>130332</v>
      </c>
    </row>
    <row r="113" spans="1:6" x14ac:dyDescent="0.25">
      <c r="A113" s="167"/>
      <c r="E113" s="270"/>
    </row>
    <row r="114" spans="1:6" x14ac:dyDescent="0.25">
      <c r="A114" s="455" t="s">
        <v>1333</v>
      </c>
      <c r="E114" s="270"/>
    </row>
    <row r="115" spans="1:6" x14ac:dyDescent="0.25">
      <c r="A115" s="455"/>
      <c r="E115" s="270"/>
    </row>
    <row r="117" spans="1:6" x14ac:dyDescent="0.25">
      <c r="A117" s="427" t="s">
        <v>1334</v>
      </c>
      <c r="B117" s="427"/>
      <c r="C117" s="427"/>
      <c r="D117" s="427"/>
      <c r="E117" s="429"/>
      <c r="F117" s="508">
        <f>SUM(E112,E102)</f>
        <v>580360.80000000005</v>
      </c>
    </row>
    <row r="120" spans="1:6" x14ac:dyDescent="0.25">
      <c r="A120" s="427" t="s">
        <v>1918</v>
      </c>
      <c r="B120" s="428"/>
      <c r="C120" s="428"/>
      <c r="D120" s="428"/>
      <c r="E120" s="428"/>
      <c r="F120" s="428"/>
    </row>
    <row r="131" spans="1:15" x14ac:dyDescent="0.25">
      <c r="B131" s="73"/>
      <c r="C131" s="73"/>
      <c r="D131" s="73"/>
      <c r="E131" s="73"/>
      <c r="F131" s="73"/>
      <c r="G131" s="73"/>
    </row>
    <row r="132" spans="1:15" x14ac:dyDescent="0.25">
      <c r="A132" s="719" t="s">
        <v>910</v>
      </c>
      <c r="B132" s="188"/>
      <c r="C132" s="188"/>
      <c r="D132" s="73"/>
      <c r="E132" s="73"/>
      <c r="F132" s="73"/>
      <c r="G132" s="73" t="s">
        <v>1902</v>
      </c>
    </row>
    <row r="133" spans="1:15" x14ac:dyDescent="0.25">
      <c r="A133" s="454" t="s">
        <v>911</v>
      </c>
      <c r="B133" s="92">
        <f>'AcreageTracking-MAP'!$G$87</f>
        <v>50.792273968468322</v>
      </c>
      <c r="C133" s="73" t="s">
        <v>1220</v>
      </c>
      <c r="D133" s="73"/>
      <c r="E133" s="73"/>
      <c r="F133" s="73"/>
      <c r="G133" s="231">
        <f>B133/28</f>
        <v>1.8140097845881544</v>
      </c>
      <c r="H133" t="s">
        <v>366</v>
      </c>
      <c r="I133" s="11">
        <f>G133*3</f>
        <v>5.4420293537644628</v>
      </c>
      <c r="J133" s="11"/>
      <c r="K133" s="11"/>
      <c r="L133" s="11"/>
      <c r="M133" s="11"/>
      <c r="N133" s="11"/>
      <c r="O133" s="11"/>
    </row>
    <row r="134" spans="1:15" x14ac:dyDescent="0.25">
      <c r="A134" s="454" t="s">
        <v>913</v>
      </c>
      <c r="B134" s="92">
        <f>'AcreageTracking-MAP'!$G$86</f>
        <v>251.61256680042791</v>
      </c>
      <c r="C134" s="73" t="s">
        <v>914</v>
      </c>
      <c r="D134" s="73"/>
      <c r="E134" s="73"/>
      <c r="F134" s="73"/>
      <c r="G134" s="231">
        <f>B134/28</f>
        <v>8.9861631000152826</v>
      </c>
      <c r="H134" t="s">
        <v>366</v>
      </c>
      <c r="I134" s="11">
        <f>G134*3</f>
        <v>26.958489300045848</v>
      </c>
      <c r="J134" s="11"/>
      <c r="K134" s="11"/>
      <c r="L134" s="11"/>
      <c r="M134" s="11"/>
      <c r="N134" s="11"/>
      <c r="O134" s="11"/>
    </row>
    <row r="135" spans="1:15" x14ac:dyDescent="0.25">
      <c r="A135" s="454"/>
      <c r="B135" s="92"/>
      <c r="C135" s="73"/>
      <c r="D135" s="73"/>
      <c r="E135" s="73"/>
      <c r="F135" s="73"/>
      <c r="G135" s="231"/>
      <c r="I135" s="11"/>
      <c r="J135" s="11"/>
      <c r="K135" s="11"/>
      <c r="L135" s="11"/>
      <c r="M135" s="11"/>
      <c r="N135" s="11"/>
      <c r="O135" s="11"/>
    </row>
    <row r="136" spans="1:15" x14ac:dyDescent="0.25">
      <c r="A136" s="188"/>
      <c r="B136" s="188"/>
      <c r="C136" s="805" t="s">
        <v>2162</v>
      </c>
      <c r="D136" s="805" t="s">
        <v>2162</v>
      </c>
      <c r="E136" s="73"/>
      <c r="F136" s="73"/>
      <c r="G136" s="73"/>
    </row>
    <row r="137" spans="1:15" ht="45" x14ac:dyDescent="0.25">
      <c r="A137" s="359" t="s">
        <v>915</v>
      </c>
      <c r="B137" s="884" t="s">
        <v>1912</v>
      </c>
      <c r="C137" s="885" t="s">
        <v>916</v>
      </c>
      <c r="D137" s="885" t="s">
        <v>917</v>
      </c>
      <c r="E137" s="885" t="s">
        <v>918</v>
      </c>
      <c r="F137" s="73"/>
      <c r="G137" s="73"/>
    </row>
    <row r="138" spans="1:15" x14ac:dyDescent="0.25">
      <c r="A138" s="225" t="s">
        <v>919</v>
      </c>
      <c r="B138" s="507" t="s">
        <v>1909</v>
      </c>
      <c r="C138" s="530">
        <f>'AcreageTracking-MAP'!G82</f>
        <v>735.55016220001869</v>
      </c>
      <c r="D138" s="73">
        <v>0</v>
      </c>
      <c r="E138" s="73">
        <v>0</v>
      </c>
      <c r="F138" s="73" t="s">
        <v>2083</v>
      </c>
      <c r="G138" s="73"/>
    </row>
    <row r="139" spans="1:15" x14ac:dyDescent="0.25">
      <c r="A139" s="225"/>
      <c r="B139" s="886" t="s">
        <v>1910</v>
      </c>
      <c r="C139" s="85">
        <f t="shared" ref="C139:C144" si="6">C138+D139</f>
        <v>780.48097770009508</v>
      </c>
      <c r="D139" s="92">
        <f>$G$134*5</f>
        <v>44.930815500076413</v>
      </c>
      <c r="E139" s="92">
        <f>$G$133*5</f>
        <v>9.0700489229407726</v>
      </c>
      <c r="F139" s="73" t="s">
        <v>2167</v>
      </c>
      <c r="G139" s="73"/>
    </row>
    <row r="140" spans="1:15" x14ac:dyDescent="0.25">
      <c r="A140" s="225"/>
      <c r="B140" s="887" t="s">
        <v>1911</v>
      </c>
      <c r="C140" s="85">
        <f t="shared" si="6"/>
        <v>825.41179320017147</v>
      </c>
      <c r="D140" s="92">
        <f>$G$134*5</f>
        <v>44.930815500076413</v>
      </c>
      <c r="E140" s="92">
        <f>$G$133*5</f>
        <v>9.0700489229407726</v>
      </c>
      <c r="F140" s="73" t="s">
        <v>2160</v>
      </c>
      <c r="G140" s="73"/>
    </row>
    <row r="141" spans="1:15" x14ac:dyDescent="0.25">
      <c r="A141" s="225"/>
      <c r="B141" s="887" t="s">
        <v>1913</v>
      </c>
      <c r="C141" s="85">
        <f t="shared" si="6"/>
        <v>870.34260870024787</v>
      </c>
      <c r="D141" s="92">
        <f>$G$134*5</f>
        <v>44.930815500076413</v>
      </c>
      <c r="E141" s="92">
        <f>$G$133*5</f>
        <v>9.0700489229407726</v>
      </c>
      <c r="F141" s="73" t="s">
        <v>2161</v>
      </c>
      <c r="G141" s="73"/>
    </row>
    <row r="142" spans="1:15" x14ac:dyDescent="0.25">
      <c r="A142" s="225"/>
      <c r="B142" s="887" t="s">
        <v>1914</v>
      </c>
      <c r="C142" s="85">
        <f t="shared" si="6"/>
        <v>915.27342420032426</v>
      </c>
      <c r="D142" s="92">
        <f>$G$134*5</f>
        <v>44.930815500076413</v>
      </c>
      <c r="E142" s="92">
        <f>$G$133*5</f>
        <v>9.0700489229407726</v>
      </c>
      <c r="F142" s="73"/>
      <c r="G142" s="73"/>
    </row>
    <row r="143" spans="1:15" x14ac:dyDescent="0.25">
      <c r="A143" s="225"/>
      <c r="B143" s="887" t="s">
        <v>1915</v>
      </c>
      <c r="C143" s="85">
        <f t="shared" si="6"/>
        <v>960.20423970040065</v>
      </c>
      <c r="D143" s="92">
        <f>$G$134*5</f>
        <v>44.930815500076413</v>
      </c>
      <c r="E143" s="92">
        <f>$G$133*5</f>
        <v>9.0700489229407726</v>
      </c>
      <c r="F143" s="73"/>
      <c r="G143" s="73"/>
    </row>
    <row r="144" spans="1:15" x14ac:dyDescent="0.25">
      <c r="A144" s="225" t="s">
        <v>920</v>
      </c>
      <c r="B144" s="888" t="s">
        <v>1916</v>
      </c>
      <c r="C144" s="889">
        <f t="shared" si="6"/>
        <v>987.16272900044646</v>
      </c>
      <c r="D144" s="890">
        <f>$G$134*3</f>
        <v>26.958489300045848</v>
      </c>
      <c r="E144" s="890">
        <f>$G$133*3</f>
        <v>5.4420293537644628</v>
      </c>
      <c r="F144" s="73"/>
      <c r="G144" s="73"/>
    </row>
    <row r="145" spans="1:16" x14ac:dyDescent="0.25">
      <c r="B145" s="73"/>
      <c r="C145" s="77" t="s">
        <v>809</v>
      </c>
      <c r="D145" s="232">
        <f>SUM(D138:D144)</f>
        <v>251.61256680042791</v>
      </c>
      <c r="E145" s="232">
        <f>SUM(E138:E144)</f>
        <v>50.792273968468322</v>
      </c>
      <c r="F145" s="73"/>
      <c r="G145" s="73"/>
      <c r="P145" s="188"/>
    </row>
    <row r="146" spans="1:16" x14ac:dyDescent="0.25">
      <c r="B146" s="73"/>
      <c r="C146" s="73"/>
      <c r="D146" s="73"/>
      <c r="E146" s="73"/>
      <c r="F146" s="73"/>
      <c r="G146" s="73"/>
    </row>
    <row r="147" spans="1:16" x14ac:dyDescent="0.25">
      <c r="A147" s="445" t="s">
        <v>1223</v>
      </c>
      <c r="B147" s="73"/>
      <c r="C147" s="73"/>
      <c r="D147" s="73"/>
      <c r="E147" s="73"/>
      <c r="F147" s="73"/>
      <c r="G147" s="73"/>
    </row>
    <row r="148" spans="1:16" x14ac:dyDescent="0.25">
      <c r="A148" s="460" t="s">
        <v>1335</v>
      </c>
      <c r="B148" s="232">
        <f>D139</f>
        <v>44.930815500076413</v>
      </c>
      <c r="C148" s="73"/>
      <c r="D148" s="73" t="s">
        <v>1336</v>
      </c>
      <c r="E148" s="73"/>
      <c r="F148" s="73"/>
      <c r="G148" s="73"/>
    </row>
    <row r="149" spans="1:16" x14ac:dyDescent="0.25">
      <c r="A149" s="460" t="s">
        <v>1226</v>
      </c>
      <c r="B149" s="85">
        <v>4</v>
      </c>
      <c r="C149" s="73"/>
      <c r="D149" s="658" t="s">
        <v>1227</v>
      </c>
      <c r="E149" s="73"/>
      <c r="F149" s="73"/>
      <c r="G149" s="73"/>
    </row>
    <row r="150" spans="1:16" x14ac:dyDescent="0.25">
      <c r="A150" s="460" t="s">
        <v>1228</v>
      </c>
      <c r="B150" s="85">
        <f>(B148/B149)</f>
        <v>11.232703875019103</v>
      </c>
      <c r="C150" s="73"/>
      <c r="D150" s="73" t="s">
        <v>1229</v>
      </c>
      <c r="E150" s="73"/>
      <c r="F150" s="73"/>
      <c r="G150" s="73"/>
    </row>
    <row r="151" spans="1:16" x14ac:dyDescent="0.25">
      <c r="A151" s="460" t="s">
        <v>1230</v>
      </c>
      <c r="B151" s="236">
        <f>('Labor Rates 2025'!$E$12+'Labor Rates 2025'!$H$12)+('Labor Rates 2025'!$D$64+'Labor Rates 2025'!$H$19)</f>
        <v>94.09</v>
      </c>
      <c r="C151" s="73"/>
      <c r="D151" s="73" t="s">
        <v>1231</v>
      </c>
      <c r="E151" s="73"/>
      <c r="F151" s="73"/>
      <c r="G151" s="73"/>
    </row>
    <row r="152" spans="1:16" x14ac:dyDescent="0.25">
      <c r="A152" s="460" t="s">
        <v>1232</v>
      </c>
      <c r="B152" s="236">
        <f>'Equipment Rates 2025'!$E$7</f>
        <v>92.68</v>
      </c>
      <c r="C152" s="73"/>
      <c r="D152" s="658" t="s">
        <v>1227</v>
      </c>
      <c r="E152" s="73"/>
      <c r="F152" s="73"/>
      <c r="G152" s="73"/>
    </row>
    <row r="153" spans="1:16" x14ac:dyDescent="0.25">
      <c r="A153" s="460" t="s">
        <v>1233</v>
      </c>
      <c r="B153" s="613">
        <f>(B151+B152)*B150</f>
        <v>2097.932102737318</v>
      </c>
      <c r="C153" s="73"/>
      <c r="D153" s="73"/>
      <c r="E153" s="73"/>
      <c r="F153" s="73"/>
      <c r="G153" s="73"/>
    </row>
    <row r="154" spans="1:16" x14ac:dyDescent="0.25">
      <c r="A154" s="455"/>
      <c r="B154" s="73"/>
      <c r="C154" s="73"/>
      <c r="D154" s="73"/>
      <c r="E154" s="73"/>
      <c r="F154" s="73"/>
      <c r="G154" s="73"/>
    </row>
    <row r="155" spans="1:16" x14ac:dyDescent="0.25">
      <c r="A155" s="445" t="s">
        <v>1234</v>
      </c>
      <c r="B155" s="73"/>
      <c r="C155" s="73"/>
      <c r="D155" s="415"/>
      <c r="E155" s="73"/>
      <c r="F155" s="73"/>
      <c r="G155" s="73"/>
    </row>
    <row r="156" spans="1:16" x14ac:dyDescent="0.25">
      <c r="A156" s="460" t="s">
        <v>1224</v>
      </c>
      <c r="B156" s="232">
        <f>D139</f>
        <v>44.930815500076413</v>
      </c>
      <c r="C156" s="73"/>
      <c r="D156" s="73" t="s">
        <v>1924</v>
      </c>
      <c r="E156" s="73"/>
      <c r="F156" s="73"/>
      <c r="G156" s="73"/>
    </row>
    <row r="157" spans="1:16" x14ac:dyDescent="0.25">
      <c r="A157" s="460" t="s">
        <v>1236</v>
      </c>
      <c r="B157" s="73">
        <f>4840*0.5</f>
        <v>2420</v>
      </c>
      <c r="C157" s="73"/>
      <c r="D157" s="73" t="s">
        <v>1237</v>
      </c>
      <c r="E157" s="73"/>
      <c r="F157" s="73"/>
      <c r="G157" s="73"/>
    </row>
    <row r="158" spans="1:16" x14ac:dyDescent="0.25">
      <c r="A158" s="460" t="s">
        <v>1238</v>
      </c>
      <c r="B158" s="85">
        <f>B156*B157</f>
        <v>108732.57351018491</v>
      </c>
      <c r="C158" s="73"/>
      <c r="D158" s="73" t="s">
        <v>1239</v>
      </c>
      <c r="E158" s="73"/>
      <c r="F158" s="73"/>
      <c r="G158" s="73"/>
    </row>
    <row r="159" spans="1:16" x14ac:dyDescent="0.25">
      <c r="A159" s="460" t="s">
        <v>1240</v>
      </c>
      <c r="B159" s="490">
        <f>'4-Other'!B448</f>
        <v>0.95834707499999994</v>
      </c>
      <c r="C159" s="73"/>
      <c r="D159" s="73" t="s">
        <v>1970</v>
      </c>
      <c r="E159" s="73"/>
      <c r="F159" s="73"/>
      <c r="G159" s="73"/>
    </row>
    <row r="160" spans="1:16" x14ac:dyDescent="0.25">
      <c r="A160" s="460" t="s">
        <v>1241</v>
      </c>
      <c r="B160" s="657">
        <f>B158*B159</f>
        <v>104203.54378070819</v>
      </c>
      <c r="C160" s="73"/>
      <c r="D160" s="73"/>
      <c r="E160" s="73"/>
      <c r="F160" s="73"/>
      <c r="G160" s="73"/>
    </row>
    <row r="161" spans="1:7" x14ac:dyDescent="0.25">
      <c r="D161" s="33"/>
    </row>
    <row r="162" spans="1:7" x14ac:dyDescent="0.25">
      <c r="D162" s="33"/>
    </row>
    <row r="163" spans="1:7" x14ac:dyDescent="0.25">
      <c r="A163" s="427" t="s">
        <v>1919</v>
      </c>
      <c r="B163" s="26"/>
      <c r="C163" s="26"/>
      <c r="D163" s="26"/>
      <c r="E163" s="26"/>
      <c r="F163" s="405">
        <f>B153+B160</f>
        <v>106301.47588344551</v>
      </c>
      <c r="G163" s="73" t="s">
        <v>1920</v>
      </c>
    </row>
    <row r="166" spans="1:7" x14ac:dyDescent="0.25">
      <c r="A166" s="427" t="s">
        <v>1043</v>
      </c>
      <c r="B166" s="30"/>
      <c r="C166" s="30"/>
      <c r="D166" s="30"/>
      <c r="E166" s="30"/>
      <c r="F166" s="30"/>
    </row>
    <row r="168" spans="1:7" x14ac:dyDescent="0.25">
      <c r="A168" s="623" t="s">
        <v>1044</v>
      </c>
      <c r="B168" s="77" t="s">
        <v>950</v>
      </c>
      <c r="C168" s="77" t="s">
        <v>598</v>
      </c>
      <c r="D168" s="507" t="s">
        <v>951</v>
      </c>
      <c r="E168" s="180"/>
    </row>
    <row r="169" spans="1:7" x14ac:dyDescent="0.25">
      <c r="A169" s="250" t="s">
        <v>952</v>
      </c>
      <c r="B169" s="182">
        <f>'Labor Rates 2025'!$D$59</f>
        <v>230.55</v>
      </c>
      <c r="C169" s="77">
        <v>16</v>
      </c>
      <c r="D169" s="376">
        <f>B169*C169</f>
        <v>3688.8</v>
      </c>
      <c r="E169" s="180"/>
      <c r="F169" s="251"/>
    </row>
    <row r="170" spans="1:7" x14ac:dyDescent="0.25">
      <c r="A170" s="250" t="s">
        <v>953</v>
      </c>
      <c r="B170" s="182">
        <f>'Labor Rates 2025'!$D$60</f>
        <v>186.79</v>
      </c>
      <c r="C170" s="77">
        <v>16</v>
      </c>
      <c r="D170" s="376">
        <f>B170*C170</f>
        <v>2988.64</v>
      </c>
      <c r="E170" s="180"/>
      <c r="F170" s="251"/>
    </row>
    <row r="171" spans="1:7" x14ac:dyDescent="0.25">
      <c r="A171" s="250" t="s">
        <v>1045</v>
      </c>
      <c r="B171" s="182">
        <f>'Labor Rates 2025'!$D$62</f>
        <v>95.79</v>
      </c>
      <c r="C171" s="77">
        <v>160</v>
      </c>
      <c r="D171" s="376">
        <f>B171*C171</f>
        <v>15326.400000000001</v>
      </c>
      <c r="E171" s="251" t="s">
        <v>1046</v>
      </c>
      <c r="F171" s="251"/>
    </row>
    <row r="172" spans="1:7" x14ac:dyDescent="0.25">
      <c r="A172" s="250" t="s">
        <v>956</v>
      </c>
      <c r="B172" s="182">
        <f>'Labor Rates 2025'!$D$61</f>
        <v>82.66</v>
      </c>
      <c r="C172" s="77">
        <v>8</v>
      </c>
      <c r="D172" s="376">
        <f>B172*C172</f>
        <v>661.28</v>
      </c>
      <c r="E172" s="180"/>
      <c r="F172" s="251"/>
    </row>
    <row r="173" spans="1:7" x14ac:dyDescent="0.25">
      <c r="A173" s="250" t="s">
        <v>957</v>
      </c>
      <c r="B173" s="517">
        <v>1000</v>
      </c>
      <c r="C173" s="296">
        <v>1</v>
      </c>
      <c r="D173" s="377">
        <f>B173*C173</f>
        <v>1000</v>
      </c>
      <c r="E173" s="73"/>
      <c r="F173" s="251"/>
    </row>
    <row r="174" spans="1:7" x14ac:dyDescent="0.25">
      <c r="A174" s="381" t="s">
        <v>1047</v>
      </c>
      <c r="B174" s="188"/>
      <c r="C174" s="188"/>
      <c r="D174" s="378">
        <f>SUM(D169:D173)</f>
        <v>23665.120000000003</v>
      </c>
      <c r="E174" s="73"/>
    </row>
    <row r="175" spans="1:7" x14ac:dyDescent="0.25">
      <c r="A175" s="73"/>
      <c r="B175" s="73"/>
      <c r="C175" s="73"/>
      <c r="D175" s="73"/>
      <c r="E175" s="73"/>
    </row>
    <row r="176" spans="1:7" x14ac:dyDescent="0.25">
      <c r="A176" s="73"/>
      <c r="B176" s="73"/>
      <c r="C176" s="73"/>
      <c r="D176" s="73"/>
      <c r="E176" s="73"/>
    </row>
    <row r="177" spans="1:7" x14ac:dyDescent="0.25">
      <c r="A177" s="73"/>
      <c r="B177" s="73"/>
      <c r="C177" s="73"/>
      <c r="D177" s="73"/>
      <c r="E177" s="73"/>
    </row>
    <row r="178" spans="1:7" x14ac:dyDescent="0.25">
      <c r="A178" s="623" t="s">
        <v>960</v>
      </c>
      <c r="B178" s="77" t="s">
        <v>950</v>
      </c>
      <c r="C178" s="77" t="s">
        <v>598</v>
      </c>
      <c r="D178" s="507" t="s">
        <v>951</v>
      </c>
      <c r="E178" s="73"/>
    </row>
    <row r="179" spans="1:7" x14ac:dyDescent="0.25">
      <c r="A179" s="254" t="s">
        <v>952</v>
      </c>
      <c r="B179" s="182">
        <f>'Labor Rates 2025'!$D$59</f>
        <v>230.55</v>
      </c>
      <c r="C179" s="77">
        <v>8</v>
      </c>
      <c r="D179" s="376">
        <f>B179*C179</f>
        <v>1844.4</v>
      </c>
      <c r="E179" s="73"/>
      <c r="F179" s="251"/>
    </row>
    <row r="180" spans="1:7" x14ac:dyDescent="0.25">
      <c r="A180" s="254" t="s">
        <v>953</v>
      </c>
      <c r="B180" s="182">
        <f>'Labor Rates 2025'!$D$60</f>
        <v>186.79</v>
      </c>
      <c r="C180" s="77">
        <v>40</v>
      </c>
      <c r="D180" s="376">
        <f>B180*C180</f>
        <v>7471.5999999999995</v>
      </c>
      <c r="E180" s="73"/>
      <c r="F180" s="251"/>
    </row>
    <row r="181" spans="1:7" x14ac:dyDescent="0.25">
      <c r="A181" s="254" t="s">
        <v>1048</v>
      </c>
      <c r="B181" s="182">
        <f>'Labor Rates 2025'!$D$62</f>
        <v>95.79</v>
      </c>
      <c r="C181" s="77">
        <v>80</v>
      </c>
      <c r="D181" s="376">
        <f>B181*C181</f>
        <v>7663.2000000000007</v>
      </c>
      <c r="E181" s="73"/>
      <c r="F181" s="251"/>
    </row>
    <row r="182" spans="1:7" x14ac:dyDescent="0.25">
      <c r="A182" s="254" t="s">
        <v>956</v>
      </c>
      <c r="B182" s="182">
        <f>'Labor Rates 2025'!$D$61</f>
        <v>82.66</v>
      </c>
      <c r="C182" s="77">
        <v>16</v>
      </c>
      <c r="D182" s="376">
        <f>B182*C182</f>
        <v>1322.56</v>
      </c>
      <c r="E182" s="73"/>
      <c r="F182" s="251"/>
    </row>
    <row r="183" spans="1:7" x14ac:dyDescent="0.25">
      <c r="A183" s="250" t="s">
        <v>961</v>
      </c>
      <c r="B183" s="498">
        <f>'Labor Rates 2025'!$D$66</f>
        <v>91.68</v>
      </c>
      <c r="C183" s="296">
        <v>16</v>
      </c>
      <c r="D183" s="377">
        <f>B183*C183</f>
        <v>1466.88</v>
      </c>
      <c r="E183" s="73"/>
      <c r="F183" s="251"/>
    </row>
    <row r="184" spans="1:7" x14ac:dyDescent="0.25">
      <c r="A184" s="624" t="s">
        <v>1049</v>
      </c>
      <c r="B184" s="180"/>
      <c r="C184" s="180"/>
      <c r="D184" s="380">
        <f>SUM(D179:D183)</f>
        <v>19768.640000000003</v>
      </c>
      <c r="E184" s="253"/>
      <c r="F184" s="255"/>
    </row>
    <row r="185" spans="1:7" x14ac:dyDescent="0.25">
      <c r="A185" s="73"/>
      <c r="B185" s="73"/>
      <c r="C185" s="73"/>
      <c r="D185" s="73"/>
      <c r="E185" s="73"/>
    </row>
    <row r="186" spans="1:7" x14ac:dyDescent="0.25">
      <c r="A186" s="73"/>
      <c r="B186" s="73"/>
      <c r="C186" s="73"/>
      <c r="D186" s="73"/>
      <c r="E186" s="73"/>
    </row>
    <row r="188" spans="1:7" x14ac:dyDescent="0.25">
      <c r="A188" s="427" t="s">
        <v>1852</v>
      </c>
      <c r="B188" s="30"/>
      <c r="C188" s="30"/>
      <c r="D188" s="30"/>
      <c r="E188" s="30"/>
      <c r="F188" s="410">
        <f>D174+D184</f>
        <v>43433.760000000009</v>
      </c>
      <c r="G188" s="73" t="s">
        <v>1920</v>
      </c>
    </row>
  </sheetData>
  <mergeCells count="7">
    <mergeCell ref="D64:E64"/>
    <mergeCell ref="D34:E34"/>
    <mergeCell ref="A1:F1"/>
    <mergeCell ref="A2:F2"/>
    <mergeCell ref="A3:F3"/>
    <mergeCell ref="A4:F4"/>
    <mergeCell ref="A6:H6"/>
  </mergeCells>
  <phoneticPr fontId="15" type="noConversion"/>
  <printOptions gridLines="1"/>
  <pageMargins left="0.25" right="0.25" top="0.75" bottom="0.75" header="0.3" footer="0.3"/>
  <pageSetup scale="71" fitToHeight="0"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51203-3393-428D-B76C-CE4A669C73AC}">
  <sheetPr codeName="Sheet5">
    <tabColor rgb="FFFFC000"/>
    <pageSetUpPr fitToPage="1"/>
  </sheetPr>
  <dimension ref="A1:K78"/>
  <sheetViews>
    <sheetView zoomScale="70" zoomScaleNormal="70" workbookViewId="0">
      <selection activeCell="O9" sqref="O9"/>
    </sheetView>
  </sheetViews>
  <sheetFormatPr defaultRowHeight="15" x14ac:dyDescent="0.25"/>
  <cols>
    <col min="1" max="1" width="54.7109375" bestFit="1" customWidth="1"/>
    <col min="2" max="2" width="67.28515625" bestFit="1" customWidth="1"/>
    <col min="3" max="3" width="8.85546875" style="4"/>
    <col min="4" max="4" width="11.140625" style="4" customWidth="1"/>
    <col min="5" max="5" width="11.7109375" style="4" customWidth="1"/>
    <col min="6" max="6" width="15.7109375" style="4" customWidth="1"/>
    <col min="7" max="7" width="10.7109375" style="4" customWidth="1"/>
    <col min="8" max="8" width="15.7109375" style="4" customWidth="1"/>
    <col min="9" max="9" width="10.7109375" style="4" customWidth="1"/>
    <col min="10" max="10" width="15.7109375" style="4" customWidth="1"/>
    <col min="11" max="11" width="10.7109375" customWidth="1"/>
  </cols>
  <sheetData>
    <row r="1" spans="1:11" x14ac:dyDescent="0.25">
      <c r="A1" s="162"/>
      <c r="B1" s="162"/>
      <c r="C1" s="162"/>
      <c r="D1" s="162"/>
      <c r="E1" s="162"/>
      <c r="F1" s="162"/>
      <c r="G1" s="162"/>
      <c r="H1" s="162"/>
      <c r="I1" s="162"/>
      <c r="J1" s="162"/>
      <c r="K1" s="162"/>
    </row>
    <row r="2" spans="1:11" ht="18.75" customHeight="1" x14ac:dyDescent="0.3">
      <c r="A2" s="978" t="s">
        <v>1337</v>
      </c>
      <c r="B2" s="978"/>
      <c r="C2" s="978"/>
      <c r="D2" s="978"/>
      <c r="E2" s="978"/>
      <c r="F2" s="979" t="s">
        <v>1338</v>
      </c>
      <c r="G2" s="979"/>
      <c r="H2" s="979"/>
      <c r="I2" s="979"/>
      <c r="J2" s="162"/>
      <c r="K2" s="162"/>
    </row>
    <row r="3" spans="1:11" x14ac:dyDescent="0.25">
      <c r="A3" s="139" t="s">
        <v>1339</v>
      </c>
      <c r="B3" s="162"/>
      <c r="C3" s="162"/>
      <c r="D3" s="162"/>
      <c r="E3" s="162"/>
      <c r="F3" s="162"/>
      <c r="G3" s="162"/>
      <c r="H3" s="162"/>
      <c r="I3" s="162"/>
      <c r="J3" s="162"/>
      <c r="K3" s="162"/>
    </row>
    <row r="4" spans="1:11" x14ac:dyDescent="0.25">
      <c r="A4" s="162"/>
      <c r="B4" s="162"/>
      <c r="C4" s="162"/>
      <c r="D4" s="162"/>
      <c r="E4" s="162"/>
      <c r="F4" s="162"/>
      <c r="G4" s="162"/>
      <c r="H4" s="162"/>
      <c r="I4" s="162"/>
      <c r="J4" s="162"/>
      <c r="K4" s="162"/>
    </row>
    <row r="5" spans="1:11" s="44" customFormat="1" ht="15.75" x14ac:dyDescent="0.25">
      <c r="A5" s="471" t="s">
        <v>1340</v>
      </c>
      <c r="B5" s="471" t="s">
        <v>56</v>
      </c>
      <c r="C5" s="471" t="s">
        <v>1341</v>
      </c>
      <c r="D5" s="471" t="s">
        <v>1342</v>
      </c>
      <c r="E5" s="140" t="s">
        <v>1343</v>
      </c>
      <c r="F5" s="976" t="s">
        <v>1344</v>
      </c>
      <c r="G5" s="977"/>
      <c r="H5" s="976" t="s">
        <v>1345</v>
      </c>
      <c r="I5" s="977"/>
      <c r="J5" s="976" t="s">
        <v>1346</v>
      </c>
      <c r="K5" s="976"/>
    </row>
    <row r="6" spans="1:11" x14ac:dyDescent="0.25">
      <c r="A6" s="162"/>
      <c r="B6" s="162"/>
      <c r="C6" s="162"/>
      <c r="D6" s="162"/>
      <c r="E6" s="141" t="s">
        <v>1015</v>
      </c>
      <c r="F6" s="162"/>
      <c r="G6" s="136" t="s">
        <v>1015</v>
      </c>
      <c r="H6" s="162" t="s">
        <v>1015</v>
      </c>
      <c r="I6" s="136" t="s">
        <v>1015</v>
      </c>
      <c r="J6" s="162"/>
      <c r="K6" s="162"/>
    </row>
    <row r="7" spans="1:11" x14ac:dyDescent="0.25">
      <c r="A7" s="162" t="s">
        <v>1347</v>
      </c>
      <c r="B7" s="162" t="s">
        <v>1348</v>
      </c>
      <c r="C7" s="132">
        <v>35.299999999999997</v>
      </c>
      <c r="D7" s="132">
        <v>34</v>
      </c>
      <c r="E7" s="143">
        <v>69.3</v>
      </c>
      <c r="F7" s="162" t="s">
        <v>1349</v>
      </c>
      <c r="G7" s="136" t="s">
        <v>1350</v>
      </c>
      <c r="H7" s="162" t="s">
        <v>1351</v>
      </c>
      <c r="I7" s="136" t="s">
        <v>1352</v>
      </c>
      <c r="J7" s="162"/>
      <c r="K7" s="162"/>
    </row>
    <row r="8" spans="1:11" x14ac:dyDescent="0.25">
      <c r="A8" s="162" t="s">
        <v>1353</v>
      </c>
      <c r="B8" s="162"/>
      <c r="C8" s="132">
        <v>32.32</v>
      </c>
      <c r="D8" s="132">
        <v>16.78</v>
      </c>
      <c r="E8" s="143">
        <v>49.1</v>
      </c>
      <c r="F8" s="162" t="s">
        <v>1349</v>
      </c>
      <c r="G8" s="136" t="s">
        <v>1354</v>
      </c>
      <c r="H8" s="162" t="s">
        <v>1355</v>
      </c>
      <c r="I8" s="136" t="s">
        <v>1356</v>
      </c>
      <c r="J8" s="162" t="s">
        <v>1357</v>
      </c>
      <c r="K8" s="162" t="s">
        <v>1358</v>
      </c>
    </row>
    <row r="9" spans="1:11" x14ac:dyDescent="0.25">
      <c r="A9" s="162" t="s">
        <v>1359</v>
      </c>
      <c r="B9" s="162"/>
      <c r="C9" s="132">
        <v>36.49</v>
      </c>
      <c r="D9" s="132">
        <v>17.45</v>
      </c>
      <c r="E9" s="143">
        <v>53.94</v>
      </c>
      <c r="F9" s="162" t="s">
        <v>1349</v>
      </c>
      <c r="G9" s="136" t="s">
        <v>1360</v>
      </c>
      <c r="H9" s="132">
        <v>4</v>
      </c>
      <c r="I9" s="136" t="s">
        <v>1361</v>
      </c>
      <c r="J9" s="132">
        <v>6</v>
      </c>
      <c r="K9" s="162" t="s">
        <v>1362</v>
      </c>
    </row>
    <row r="10" spans="1:11" x14ac:dyDescent="0.25">
      <c r="A10" s="162" t="s">
        <v>1363</v>
      </c>
      <c r="B10" s="162"/>
      <c r="C10" s="132">
        <v>38.54</v>
      </c>
      <c r="D10" s="132">
        <v>17.04</v>
      </c>
      <c r="E10" s="142" t="s">
        <v>1015</v>
      </c>
      <c r="F10" s="162"/>
      <c r="G10" s="136" t="s">
        <v>1015</v>
      </c>
      <c r="H10" s="162"/>
      <c r="I10" s="136" t="s">
        <v>1015</v>
      </c>
      <c r="J10" s="162"/>
      <c r="K10" s="162"/>
    </row>
    <row r="11" spans="1:11" x14ac:dyDescent="0.25">
      <c r="A11" s="162" t="s">
        <v>1364</v>
      </c>
      <c r="B11" s="162" t="s">
        <v>1365</v>
      </c>
      <c r="C11" s="132">
        <v>31.51</v>
      </c>
      <c r="D11" s="132">
        <v>15.73</v>
      </c>
      <c r="E11" s="143">
        <v>47.24</v>
      </c>
      <c r="F11" s="162" t="s">
        <v>1349</v>
      </c>
      <c r="G11" s="136" t="s">
        <v>1360</v>
      </c>
      <c r="H11" s="132">
        <v>3.5</v>
      </c>
      <c r="I11" s="136" t="s">
        <v>1361</v>
      </c>
      <c r="J11" s="132">
        <v>5.5</v>
      </c>
      <c r="K11" s="162" t="s">
        <v>1362</v>
      </c>
    </row>
    <row r="12" spans="1:11" x14ac:dyDescent="0.25">
      <c r="A12" s="162" t="s">
        <v>1366</v>
      </c>
      <c r="B12" s="162" t="s">
        <v>1367</v>
      </c>
      <c r="C12" s="132">
        <v>32.880000000000003</v>
      </c>
      <c r="D12" s="132">
        <v>15.15</v>
      </c>
      <c r="E12" s="143">
        <v>48.03</v>
      </c>
      <c r="F12" s="162" t="s">
        <v>1349</v>
      </c>
      <c r="G12" s="136" t="s">
        <v>1360</v>
      </c>
      <c r="H12" s="132">
        <v>3.5</v>
      </c>
      <c r="I12" s="136" t="s">
        <v>1361</v>
      </c>
      <c r="J12" s="132">
        <v>5.5</v>
      </c>
      <c r="K12" s="162" t="s">
        <v>1362</v>
      </c>
    </row>
    <row r="13" spans="1:11" x14ac:dyDescent="0.25">
      <c r="A13" s="162" t="s">
        <v>1368</v>
      </c>
      <c r="B13" s="162" t="s">
        <v>1369</v>
      </c>
      <c r="C13" s="132">
        <v>38</v>
      </c>
      <c r="D13" s="132">
        <v>16.350000000000001</v>
      </c>
      <c r="E13" s="143">
        <v>54.35</v>
      </c>
      <c r="F13" s="162" t="s">
        <v>1349</v>
      </c>
      <c r="G13" s="136" t="s">
        <v>1360</v>
      </c>
      <c r="H13" s="132">
        <v>3.5</v>
      </c>
      <c r="I13" s="136" t="s">
        <v>1361</v>
      </c>
      <c r="J13" s="132">
        <v>5.5</v>
      </c>
      <c r="K13" s="162" t="s">
        <v>1362</v>
      </c>
    </row>
    <row r="14" spans="1:11" x14ac:dyDescent="0.25">
      <c r="A14" s="162" t="s">
        <v>1370</v>
      </c>
      <c r="B14" s="162" t="s">
        <v>1371</v>
      </c>
      <c r="C14" s="132">
        <v>38</v>
      </c>
      <c r="D14" s="132">
        <v>16.350000000000001</v>
      </c>
      <c r="E14" s="143">
        <v>54.35</v>
      </c>
      <c r="F14" s="162" t="s">
        <v>1349</v>
      </c>
      <c r="G14" s="136" t="s">
        <v>1360</v>
      </c>
      <c r="H14" s="132">
        <v>3.5</v>
      </c>
      <c r="I14" s="136" t="s">
        <v>1361</v>
      </c>
      <c r="J14" s="132">
        <v>5.5</v>
      </c>
      <c r="K14" s="162" t="s">
        <v>1362</v>
      </c>
    </row>
    <row r="15" spans="1:11" x14ac:dyDescent="0.25">
      <c r="A15" s="162" t="s">
        <v>1372</v>
      </c>
      <c r="B15" s="162" t="s">
        <v>1373</v>
      </c>
      <c r="C15" s="132">
        <v>38</v>
      </c>
      <c r="D15" s="132">
        <v>16.350000000000001</v>
      </c>
      <c r="E15" s="143">
        <v>54.35</v>
      </c>
      <c r="F15" s="162" t="s">
        <v>1349</v>
      </c>
      <c r="G15" s="136" t="s">
        <v>1360</v>
      </c>
      <c r="H15" s="132">
        <v>3.5</v>
      </c>
      <c r="I15" s="136" t="s">
        <v>1361</v>
      </c>
      <c r="J15" s="132">
        <v>5.5</v>
      </c>
      <c r="K15" s="162" t="s">
        <v>1362</v>
      </c>
    </row>
    <row r="16" spans="1:11" x14ac:dyDescent="0.25">
      <c r="A16" s="162" t="s">
        <v>1374</v>
      </c>
      <c r="B16" s="162" t="s">
        <v>1375</v>
      </c>
      <c r="C16" s="132">
        <v>40</v>
      </c>
      <c r="D16" s="132">
        <v>16.350000000000001</v>
      </c>
      <c r="E16" s="143">
        <v>56.35</v>
      </c>
      <c r="F16" s="162" t="s">
        <v>1349</v>
      </c>
      <c r="G16" s="136" t="s">
        <v>1360</v>
      </c>
      <c r="H16" s="132">
        <v>3.5</v>
      </c>
      <c r="I16" s="136" t="s">
        <v>1361</v>
      </c>
      <c r="J16" s="132">
        <v>5.5</v>
      </c>
      <c r="K16" s="162" t="s">
        <v>1362</v>
      </c>
    </row>
    <row r="17" spans="1:11" x14ac:dyDescent="0.25">
      <c r="A17" s="162" t="s">
        <v>1376</v>
      </c>
      <c r="B17" s="162" t="s">
        <v>1377</v>
      </c>
      <c r="C17" s="132">
        <v>42</v>
      </c>
      <c r="D17" s="132">
        <v>16.350000000000001</v>
      </c>
      <c r="E17" s="143">
        <v>58.35</v>
      </c>
      <c r="F17" s="162" t="s">
        <v>1349</v>
      </c>
      <c r="G17" s="136" t="s">
        <v>1360</v>
      </c>
      <c r="H17" s="132">
        <v>3.5</v>
      </c>
      <c r="I17" s="136" t="s">
        <v>1361</v>
      </c>
      <c r="J17" s="132">
        <v>5.5</v>
      </c>
      <c r="K17" s="162" t="s">
        <v>1362</v>
      </c>
    </row>
    <row r="18" spans="1:11" x14ac:dyDescent="0.25">
      <c r="A18" s="162" t="s">
        <v>1378</v>
      </c>
      <c r="B18" s="162"/>
      <c r="C18" s="132">
        <v>23.08</v>
      </c>
      <c r="D18" s="132">
        <v>11.82</v>
      </c>
      <c r="E18" s="143">
        <v>34.9</v>
      </c>
      <c r="F18" s="162" t="s">
        <v>1349</v>
      </c>
      <c r="G18" s="136" t="s">
        <v>1360</v>
      </c>
      <c r="H18" s="132">
        <v>3.05</v>
      </c>
      <c r="I18" s="136" t="s">
        <v>1361</v>
      </c>
      <c r="J18" s="132">
        <v>4.8499999999999996</v>
      </c>
      <c r="K18" s="162" t="s">
        <v>1362</v>
      </c>
    </row>
    <row r="19" spans="1:11" x14ac:dyDescent="0.25">
      <c r="A19" s="162" t="s">
        <v>1379</v>
      </c>
      <c r="B19" s="162" t="s">
        <v>1380</v>
      </c>
      <c r="C19" s="132">
        <v>26.15</v>
      </c>
      <c r="D19" s="132">
        <v>13.44</v>
      </c>
      <c r="E19" s="143">
        <v>39.590000000000003</v>
      </c>
      <c r="F19" s="162" t="s">
        <v>1349</v>
      </c>
      <c r="G19" s="136" t="s">
        <v>1360</v>
      </c>
      <c r="H19" s="132">
        <v>3.05</v>
      </c>
      <c r="I19" s="136" t="s">
        <v>1361</v>
      </c>
      <c r="J19" s="132">
        <v>4.8499999999999996</v>
      </c>
      <c r="K19" s="162" t="s">
        <v>1362</v>
      </c>
    </row>
    <row r="20" spans="1:11" x14ac:dyDescent="0.25">
      <c r="A20" s="162" t="s">
        <v>1381</v>
      </c>
      <c r="B20" s="162" t="s">
        <v>1382</v>
      </c>
      <c r="C20" s="132">
        <v>26.07</v>
      </c>
      <c r="D20" s="132">
        <v>13.44</v>
      </c>
      <c r="E20" s="143">
        <v>39.51</v>
      </c>
      <c r="F20" s="162" t="s">
        <v>1349</v>
      </c>
      <c r="G20" s="136" t="s">
        <v>1360</v>
      </c>
      <c r="H20" s="132">
        <v>3.05</v>
      </c>
      <c r="I20" s="136" t="s">
        <v>1361</v>
      </c>
      <c r="J20" s="132">
        <v>4.8499999999999996</v>
      </c>
      <c r="K20" s="162" t="s">
        <v>1362</v>
      </c>
    </row>
    <row r="21" spans="1:11" x14ac:dyDescent="0.25">
      <c r="A21" s="162" t="s">
        <v>1383</v>
      </c>
      <c r="B21" s="162" t="s">
        <v>1384</v>
      </c>
      <c r="C21" s="132">
        <v>26.76</v>
      </c>
      <c r="D21" s="132">
        <v>11.82</v>
      </c>
      <c r="E21" s="143">
        <v>38.58</v>
      </c>
      <c r="F21" s="162" t="s">
        <v>1349</v>
      </c>
      <c r="G21" s="136" t="s">
        <v>1360</v>
      </c>
      <c r="H21" s="132">
        <v>3.05</v>
      </c>
      <c r="I21" s="136" t="s">
        <v>1361</v>
      </c>
      <c r="J21" s="132">
        <v>4.8499999999999996</v>
      </c>
      <c r="K21" s="162" t="s">
        <v>1362</v>
      </c>
    </row>
    <row r="22" spans="1:11" x14ac:dyDescent="0.25">
      <c r="A22" s="162" t="s">
        <v>1385</v>
      </c>
      <c r="B22" s="162" t="s">
        <v>1386</v>
      </c>
      <c r="C22" s="647">
        <v>47.55</v>
      </c>
      <c r="D22" s="647">
        <v>16.05</v>
      </c>
      <c r="E22" s="648">
        <v>63.6</v>
      </c>
      <c r="F22" s="162" t="s">
        <v>1349</v>
      </c>
      <c r="G22" s="136" t="s">
        <v>1360</v>
      </c>
      <c r="H22" s="132">
        <v>4</v>
      </c>
      <c r="I22" s="136" t="s">
        <v>1361</v>
      </c>
      <c r="J22" s="132">
        <v>6</v>
      </c>
      <c r="K22" s="162" t="s">
        <v>1362</v>
      </c>
    </row>
    <row r="23" spans="1:11" x14ac:dyDescent="0.25">
      <c r="A23" s="162" t="s">
        <v>1387</v>
      </c>
      <c r="B23" s="162"/>
      <c r="C23" s="647">
        <v>48.51</v>
      </c>
      <c r="D23" s="647">
        <v>16.05</v>
      </c>
      <c r="E23" s="648">
        <v>64.56</v>
      </c>
      <c r="F23" s="162" t="s">
        <v>1349</v>
      </c>
      <c r="G23" s="136" t="s">
        <v>1015</v>
      </c>
      <c r="H23" s="132">
        <v>4</v>
      </c>
      <c r="I23" s="136" t="s">
        <v>1361</v>
      </c>
      <c r="J23" s="132">
        <v>6</v>
      </c>
      <c r="K23" s="162" t="s">
        <v>1362</v>
      </c>
    </row>
    <row r="24" spans="1:11" x14ac:dyDescent="0.25">
      <c r="A24" s="162" t="s">
        <v>1388</v>
      </c>
      <c r="B24" s="162" t="s">
        <v>1389</v>
      </c>
      <c r="C24" s="647">
        <v>97.52</v>
      </c>
      <c r="D24" s="647">
        <v>16.05</v>
      </c>
      <c r="E24" s="648">
        <v>113.57</v>
      </c>
      <c r="F24" s="162"/>
      <c r="G24" s="136" t="s">
        <v>1015</v>
      </c>
      <c r="H24" s="132">
        <v>4</v>
      </c>
      <c r="I24" s="136" t="s">
        <v>1361</v>
      </c>
      <c r="J24" s="132">
        <v>6</v>
      </c>
      <c r="K24" s="162" t="s">
        <v>1362</v>
      </c>
    </row>
    <row r="25" spans="1:11" x14ac:dyDescent="0.25">
      <c r="A25" s="162" t="s">
        <v>1390</v>
      </c>
      <c r="B25" s="162" t="s">
        <v>1391</v>
      </c>
      <c r="C25" s="132">
        <v>38.659999999999997</v>
      </c>
      <c r="D25" s="132">
        <v>17.84</v>
      </c>
      <c r="E25" s="143">
        <v>56.5</v>
      </c>
      <c r="F25" s="162" t="s">
        <v>1349</v>
      </c>
      <c r="G25" s="136" t="s">
        <v>1392</v>
      </c>
      <c r="H25" s="162" t="s">
        <v>1351</v>
      </c>
      <c r="I25" s="136" t="s">
        <v>1393</v>
      </c>
      <c r="J25" s="162" t="s">
        <v>1394</v>
      </c>
      <c r="K25" s="162" t="s">
        <v>1362</v>
      </c>
    </row>
    <row r="26" spans="1:11" x14ac:dyDescent="0.25">
      <c r="A26" s="162" t="s">
        <v>1395</v>
      </c>
      <c r="B26" s="162" t="s">
        <v>1396</v>
      </c>
      <c r="C26" s="647">
        <v>42.26</v>
      </c>
      <c r="D26" s="647">
        <v>21.99</v>
      </c>
      <c r="E26" s="648">
        <v>64.25</v>
      </c>
      <c r="F26" s="162" t="s">
        <v>1349</v>
      </c>
      <c r="G26" s="136" t="s">
        <v>1360</v>
      </c>
      <c r="H26" s="162" t="s">
        <v>1397</v>
      </c>
      <c r="I26" s="136" t="s">
        <v>1398</v>
      </c>
      <c r="J26" s="162" t="s">
        <v>1399</v>
      </c>
      <c r="K26" s="162" t="s">
        <v>1400</v>
      </c>
    </row>
    <row r="27" spans="1:11" x14ac:dyDescent="0.25">
      <c r="A27" s="162" t="s">
        <v>1401</v>
      </c>
      <c r="B27" s="162" t="s">
        <v>1402</v>
      </c>
      <c r="C27" s="132">
        <v>34.83</v>
      </c>
      <c r="D27" s="132">
        <v>28.07</v>
      </c>
      <c r="E27" s="143">
        <v>62.9</v>
      </c>
      <c r="F27" s="162" t="s">
        <v>1349</v>
      </c>
      <c r="G27" s="136" t="s">
        <v>1403</v>
      </c>
      <c r="H27" s="162" t="s">
        <v>1404</v>
      </c>
      <c r="I27" s="136" t="s">
        <v>1405</v>
      </c>
      <c r="J27" s="162" t="s">
        <v>1394</v>
      </c>
      <c r="K27" s="162" t="s">
        <v>1406</v>
      </c>
    </row>
    <row r="28" spans="1:11" x14ac:dyDescent="0.25">
      <c r="A28" s="162" t="s">
        <v>1407</v>
      </c>
      <c r="B28" s="162" t="s">
        <v>1402</v>
      </c>
      <c r="C28" s="132">
        <v>34.83</v>
      </c>
      <c r="D28" s="132">
        <v>28.07</v>
      </c>
      <c r="E28" s="143">
        <v>62.9</v>
      </c>
      <c r="F28" s="162" t="s">
        <v>1349</v>
      </c>
      <c r="G28" s="136" t="s">
        <v>1403</v>
      </c>
      <c r="H28" s="162" t="s">
        <v>1404</v>
      </c>
      <c r="I28" s="136" t="s">
        <v>1405</v>
      </c>
      <c r="J28" s="162" t="s">
        <v>1394</v>
      </c>
      <c r="K28" s="162" t="s">
        <v>1406</v>
      </c>
    </row>
    <row r="29" spans="1:11" x14ac:dyDescent="0.25">
      <c r="A29" s="162" t="s">
        <v>1408</v>
      </c>
      <c r="B29" s="162" t="s">
        <v>1409</v>
      </c>
      <c r="C29" s="647">
        <v>38.56</v>
      </c>
      <c r="D29" s="647">
        <v>17.93</v>
      </c>
      <c r="E29" s="648">
        <v>56.49</v>
      </c>
      <c r="F29" s="162" t="s">
        <v>1355</v>
      </c>
      <c r="G29" s="136" t="s">
        <v>1410</v>
      </c>
      <c r="H29" s="162" t="s">
        <v>1015</v>
      </c>
      <c r="I29" s="136" t="s">
        <v>1015</v>
      </c>
      <c r="J29" s="162"/>
      <c r="K29" s="162"/>
    </row>
    <row r="30" spans="1:11" x14ac:dyDescent="0.25">
      <c r="A30" s="162" t="s">
        <v>1411</v>
      </c>
      <c r="B30" s="162" t="s">
        <v>1409</v>
      </c>
      <c r="C30" s="132">
        <v>29.09</v>
      </c>
      <c r="D30" s="132">
        <v>8.36</v>
      </c>
      <c r="E30" s="143">
        <v>37.450000000000003</v>
      </c>
      <c r="F30" s="162" t="s">
        <v>1355</v>
      </c>
      <c r="G30" s="136" t="s">
        <v>1410</v>
      </c>
      <c r="H30" s="162" t="s">
        <v>1015</v>
      </c>
      <c r="I30" s="136" t="s">
        <v>1015</v>
      </c>
      <c r="J30" s="162"/>
      <c r="K30" s="162"/>
    </row>
    <row r="31" spans="1:11" x14ac:dyDescent="0.25">
      <c r="A31" s="162" t="s">
        <v>1412</v>
      </c>
      <c r="B31" s="162" t="s">
        <v>1409</v>
      </c>
      <c r="C31" s="132">
        <v>52.11</v>
      </c>
      <c r="D31" s="132">
        <v>18.75</v>
      </c>
      <c r="E31" s="143">
        <v>70.86</v>
      </c>
      <c r="F31" s="162" t="s">
        <v>1355</v>
      </c>
      <c r="G31" s="136" t="s">
        <v>1410</v>
      </c>
      <c r="H31" s="162" t="s">
        <v>1015</v>
      </c>
      <c r="I31" s="136" t="s">
        <v>1015</v>
      </c>
      <c r="J31" s="162"/>
      <c r="K31" s="162"/>
    </row>
    <row r="32" spans="1:11" x14ac:dyDescent="0.25">
      <c r="A32" s="162" t="s">
        <v>1413</v>
      </c>
      <c r="B32" s="162"/>
      <c r="C32" s="132">
        <v>45.26</v>
      </c>
      <c r="D32" s="132">
        <v>21.25</v>
      </c>
      <c r="E32" s="143">
        <v>66.510000000000005</v>
      </c>
      <c r="F32" s="162" t="s">
        <v>1349</v>
      </c>
      <c r="G32" s="136" t="s">
        <v>1360</v>
      </c>
      <c r="H32" s="132">
        <v>4</v>
      </c>
      <c r="I32" s="136" t="s">
        <v>1361</v>
      </c>
      <c r="J32" s="132">
        <v>6</v>
      </c>
      <c r="K32" s="162" t="s">
        <v>1362</v>
      </c>
    </row>
    <row r="33" spans="1:11" x14ac:dyDescent="0.25">
      <c r="A33" s="162" t="s">
        <v>1414</v>
      </c>
      <c r="B33" s="162"/>
      <c r="C33" s="132">
        <v>25</v>
      </c>
      <c r="D33" s="162"/>
      <c r="E33" s="143">
        <v>25</v>
      </c>
      <c r="F33" s="162" t="s">
        <v>1349</v>
      </c>
      <c r="G33" s="136" t="s">
        <v>1410</v>
      </c>
      <c r="H33" s="162" t="s">
        <v>1015</v>
      </c>
      <c r="I33" s="136" t="s">
        <v>1015</v>
      </c>
      <c r="J33" s="162"/>
      <c r="K33" s="162"/>
    </row>
    <row r="34" spans="1:11" x14ac:dyDescent="0.25">
      <c r="A34" s="162" t="s">
        <v>1415</v>
      </c>
      <c r="B34" s="162" t="s">
        <v>1416</v>
      </c>
      <c r="C34" s="132">
        <v>36.49</v>
      </c>
      <c r="D34" s="132">
        <v>14.33</v>
      </c>
      <c r="E34" s="143">
        <v>50.82</v>
      </c>
      <c r="F34" s="162" t="s">
        <v>1349</v>
      </c>
      <c r="G34" s="136" t="s">
        <v>1360</v>
      </c>
      <c r="H34" s="132">
        <v>4</v>
      </c>
      <c r="I34" s="136" t="s">
        <v>1361</v>
      </c>
      <c r="J34" s="132">
        <v>6</v>
      </c>
      <c r="K34" s="162" t="s">
        <v>1362</v>
      </c>
    </row>
    <row r="35" spans="1:11" x14ac:dyDescent="0.25">
      <c r="A35" s="162" t="s">
        <v>1417</v>
      </c>
      <c r="B35" s="162" t="s">
        <v>1418</v>
      </c>
      <c r="C35" s="132">
        <v>45.6</v>
      </c>
      <c r="D35" s="132">
        <v>21.26</v>
      </c>
      <c r="E35" s="143">
        <v>66.86</v>
      </c>
      <c r="F35" s="162" t="s">
        <v>1349</v>
      </c>
      <c r="G35" s="136" t="s">
        <v>1354</v>
      </c>
      <c r="H35" s="162" t="s">
        <v>1419</v>
      </c>
      <c r="I35" s="136" t="s">
        <v>1420</v>
      </c>
      <c r="J35" s="162"/>
      <c r="K35" s="162"/>
    </row>
    <row r="36" spans="1:11" x14ac:dyDescent="0.25">
      <c r="A36" s="162" t="s">
        <v>1421</v>
      </c>
      <c r="B36" s="162" t="s">
        <v>1422</v>
      </c>
      <c r="C36" s="647">
        <v>39.06</v>
      </c>
      <c r="D36" s="647">
        <v>25.39</v>
      </c>
      <c r="E36" s="648">
        <v>64.45</v>
      </c>
      <c r="F36" s="162"/>
      <c r="G36" s="136" t="s">
        <v>1015</v>
      </c>
      <c r="H36" s="162" t="s">
        <v>1015</v>
      </c>
      <c r="I36" s="136" t="s">
        <v>1015</v>
      </c>
      <c r="J36" s="162"/>
      <c r="K36" s="162"/>
    </row>
    <row r="37" spans="1:11" x14ac:dyDescent="0.25">
      <c r="A37" s="162" t="s">
        <v>1423</v>
      </c>
      <c r="B37" s="162"/>
      <c r="C37" s="132">
        <v>31.28</v>
      </c>
      <c r="D37" s="132">
        <v>9.3699999999999992</v>
      </c>
      <c r="E37" s="143">
        <v>40.65</v>
      </c>
      <c r="F37" s="162" t="s">
        <v>1349</v>
      </c>
      <c r="G37" s="136" t="s">
        <v>1360</v>
      </c>
      <c r="H37" s="132">
        <v>3.05</v>
      </c>
      <c r="I37" s="136" t="s">
        <v>1361</v>
      </c>
      <c r="J37" s="132">
        <v>4.8499999999999996</v>
      </c>
      <c r="K37" s="162" t="s">
        <v>1362</v>
      </c>
    </row>
    <row r="38" spans="1:11" x14ac:dyDescent="0.25">
      <c r="A38" s="162"/>
      <c r="B38" s="162"/>
      <c r="C38" s="162"/>
      <c r="D38" s="162"/>
      <c r="E38" s="162"/>
      <c r="F38" s="162"/>
      <c r="G38" s="162"/>
      <c r="H38" s="162"/>
      <c r="I38" s="162"/>
      <c r="J38" s="162"/>
      <c r="K38" s="162"/>
    </row>
    <row r="39" spans="1:11" x14ac:dyDescent="0.25">
      <c r="A39" s="162"/>
      <c r="B39" s="162"/>
      <c r="C39" s="162"/>
      <c r="D39" s="162"/>
      <c r="E39" s="162"/>
      <c r="F39" s="162"/>
      <c r="G39" s="162"/>
      <c r="H39" s="162"/>
      <c r="I39" s="162"/>
      <c r="J39" s="162"/>
      <c r="K39" s="162"/>
    </row>
    <row r="42" spans="1:11" ht="15.75" thickBot="1" x14ac:dyDescent="0.3">
      <c r="A42" s="188" t="s">
        <v>1890</v>
      </c>
      <c r="C42"/>
      <c r="D42"/>
      <c r="E42" s="1"/>
      <c r="F42"/>
      <c r="G42" s="1"/>
      <c r="H42"/>
    </row>
    <row r="43" spans="1:11" x14ac:dyDescent="0.25">
      <c r="A43" s="596"/>
      <c r="B43" s="597"/>
      <c r="C43" s="597"/>
      <c r="D43" s="597"/>
      <c r="E43" s="597"/>
      <c r="F43" s="597"/>
      <c r="G43" s="598"/>
      <c r="H43" s="599"/>
    </row>
    <row r="44" spans="1:11" x14ac:dyDescent="0.25">
      <c r="A44" s="178" t="s">
        <v>1424</v>
      </c>
      <c r="B44" s="73"/>
      <c r="C44" s="73"/>
      <c r="D44" s="73"/>
      <c r="E44" s="73"/>
      <c r="F44" s="585"/>
      <c r="G44" s="585"/>
      <c r="H44" s="181"/>
    </row>
    <row r="45" spans="1:11" ht="17.25" x14ac:dyDescent="0.25">
      <c r="A45" s="83"/>
      <c r="B45" s="73" t="s">
        <v>1425</v>
      </c>
      <c r="C45" s="586"/>
      <c r="D45" s="73" t="s">
        <v>1796</v>
      </c>
      <c r="E45" s="649"/>
      <c r="F45" s="650" t="s">
        <v>1797</v>
      </c>
      <c r="G45" s="586"/>
      <c r="H45" s="600"/>
    </row>
    <row r="46" spans="1:11" x14ac:dyDescent="0.25">
      <c r="A46" s="83"/>
      <c r="B46" s="73" t="s">
        <v>952</v>
      </c>
      <c r="C46" s="587"/>
      <c r="D46" s="182">
        <v>230.55</v>
      </c>
      <c r="E46" s="587"/>
      <c r="F46" s="650" t="s">
        <v>1888</v>
      </c>
      <c r="G46" s="587"/>
      <c r="H46" s="600"/>
    </row>
    <row r="47" spans="1:11" x14ac:dyDescent="0.25">
      <c r="A47" s="83"/>
      <c r="B47" s="73" t="s">
        <v>1426</v>
      </c>
      <c r="C47" s="587"/>
      <c r="D47" s="182">
        <v>186.79</v>
      </c>
      <c r="E47" s="587"/>
      <c r="F47" s="650" t="s">
        <v>1889</v>
      </c>
      <c r="G47" s="587"/>
      <c r="H47" s="600"/>
    </row>
    <row r="48" spans="1:11" x14ac:dyDescent="0.25">
      <c r="A48" s="83"/>
      <c r="B48" s="73" t="s">
        <v>1427</v>
      </c>
      <c r="C48" s="587"/>
      <c r="D48" s="182">
        <v>95.79</v>
      </c>
      <c r="E48" s="587"/>
      <c r="F48" s="587"/>
      <c r="G48" s="587"/>
      <c r="H48" s="600"/>
    </row>
    <row r="49" spans="1:8" x14ac:dyDescent="0.25">
      <c r="A49" s="83"/>
      <c r="B49" s="73" t="s">
        <v>1428</v>
      </c>
      <c r="C49" s="587"/>
      <c r="D49" s="182">
        <v>82.66</v>
      </c>
      <c r="E49" s="587"/>
      <c r="F49" s="587"/>
      <c r="G49" s="587"/>
      <c r="H49" s="600"/>
    </row>
    <row r="50" spans="1:8" x14ac:dyDescent="0.25">
      <c r="A50" s="83"/>
      <c r="B50" s="73" t="s">
        <v>1429</v>
      </c>
      <c r="C50" s="587"/>
      <c r="D50" s="182">
        <v>51</v>
      </c>
      <c r="E50" s="587"/>
      <c r="F50" s="587"/>
      <c r="G50" s="588"/>
      <c r="H50" s="600"/>
    </row>
    <row r="51" spans="1:8" x14ac:dyDescent="0.25">
      <c r="A51" s="83"/>
      <c r="B51" s="73" t="s">
        <v>1430</v>
      </c>
      <c r="C51" s="587"/>
      <c r="D51" s="182">
        <f>E20</f>
        <v>39.51</v>
      </c>
      <c r="E51" s="587"/>
      <c r="F51" s="587"/>
      <c r="G51" s="588"/>
      <c r="H51" s="600"/>
    </row>
    <row r="52" spans="1:8" x14ac:dyDescent="0.25">
      <c r="A52" s="83"/>
      <c r="B52" s="73" t="s">
        <v>1431</v>
      </c>
      <c r="C52" s="587"/>
      <c r="D52" s="182">
        <v>40</v>
      </c>
      <c r="E52" s="587"/>
      <c r="F52" s="587"/>
      <c r="G52" s="588"/>
      <c r="H52" s="600"/>
    </row>
    <row r="53" spans="1:8" x14ac:dyDescent="0.25">
      <c r="A53" s="83"/>
      <c r="B53" s="180" t="s">
        <v>1432</v>
      </c>
      <c r="C53" s="589"/>
      <c r="D53" s="589"/>
      <c r="E53" s="590"/>
      <c r="F53" s="589"/>
      <c r="G53" s="591"/>
      <c r="H53" s="181"/>
    </row>
    <row r="54" spans="1:8" x14ac:dyDescent="0.25">
      <c r="A54" s="83"/>
      <c r="B54" s="180" t="s">
        <v>1433</v>
      </c>
      <c r="C54" s="180"/>
      <c r="D54" s="180"/>
      <c r="E54" s="180"/>
      <c r="F54" s="180"/>
      <c r="G54" s="180"/>
      <c r="H54" s="179"/>
    </row>
    <row r="55" spans="1:8" x14ac:dyDescent="0.25">
      <c r="A55" s="83"/>
      <c r="B55" s="180" t="s">
        <v>1434</v>
      </c>
      <c r="C55" s="180"/>
      <c r="D55" s="180"/>
      <c r="E55" s="180"/>
      <c r="F55" s="180"/>
      <c r="G55" s="180"/>
      <c r="H55" s="179"/>
    </row>
    <row r="56" spans="1:8" x14ac:dyDescent="0.25">
      <c r="A56" s="83"/>
      <c r="B56" s="73"/>
      <c r="C56"/>
      <c r="D56"/>
      <c r="E56" s="1"/>
      <c r="F56"/>
      <c r="G56" s="1"/>
      <c r="H56" s="179"/>
    </row>
    <row r="57" spans="1:8" x14ac:dyDescent="0.25">
      <c r="A57" s="178" t="s">
        <v>1435</v>
      </c>
      <c r="B57" s="73"/>
      <c r="C57" s="77"/>
      <c r="D57" s="77"/>
      <c r="E57" s="77"/>
      <c r="F57" s="592"/>
      <c r="G57" s="77"/>
      <c r="H57" s="177"/>
    </row>
    <row r="58" spans="1:8" ht="30" x14ac:dyDescent="0.25">
      <c r="A58" s="178"/>
      <c r="B58" s="73"/>
      <c r="C58" s="77"/>
      <c r="D58" s="593" t="s">
        <v>1436</v>
      </c>
      <c r="E58" s="77"/>
      <c r="F58" s="594" t="s">
        <v>1437</v>
      </c>
      <c r="G58" s="77"/>
      <c r="H58" s="177"/>
    </row>
    <row r="59" spans="1:8" x14ac:dyDescent="0.25">
      <c r="A59" s="178"/>
      <c r="B59" s="73" t="s">
        <v>952</v>
      </c>
      <c r="C59" s="77"/>
      <c r="D59" s="592">
        <f>D46</f>
        <v>230.55</v>
      </c>
      <c r="E59" s="77"/>
      <c r="F59" s="171">
        <f t="shared" ref="F59:F66" si="0">2080*D59</f>
        <v>479544</v>
      </c>
      <c r="G59" s="77"/>
      <c r="H59" s="177"/>
    </row>
    <row r="60" spans="1:8" x14ac:dyDescent="0.25">
      <c r="A60" s="178"/>
      <c r="B60" s="73" t="s">
        <v>1426</v>
      </c>
      <c r="C60" s="77"/>
      <c r="D60" s="592">
        <f>D47</f>
        <v>186.79</v>
      </c>
      <c r="E60" s="77"/>
      <c r="F60" s="171">
        <f t="shared" si="0"/>
        <v>388523.2</v>
      </c>
      <c r="G60" s="77"/>
      <c r="H60" s="177"/>
    </row>
    <row r="61" spans="1:8" x14ac:dyDescent="0.25">
      <c r="A61" s="178"/>
      <c r="B61" s="73" t="s">
        <v>1428</v>
      </c>
      <c r="C61" s="77"/>
      <c r="D61" s="592">
        <f>D49</f>
        <v>82.66</v>
      </c>
      <c r="E61" s="77"/>
      <c r="F61" s="171">
        <f t="shared" si="0"/>
        <v>171932.79999999999</v>
      </c>
      <c r="G61" s="77"/>
      <c r="H61" s="177"/>
    </row>
    <row r="62" spans="1:8" x14ac:dyDescent="0.25">
      <c r="A62" s="178"/>
      <c r="B62" s="73" t="s">
        <v>1438</v>
      </c>
      <c r="C62" s="77"/>
      <c r="D62" s="592">
        <f>D48</f>
        <v>95.79</v>
      </c>
      <c r="E62" s="77"/>
      <c r="F62" s="171">
        <f t="shared" si="0"/>
        <v>199243.2</v>
      </c>
      <c r="G62" s="77"/>
      <c r="H62" s="177"/>
    </row>
    <row r="63" spans="1:8" x14ac:dyDescent="0.25">
      <c r="A63" s="178"/>
      <c r="B63" s="73" t="s">
        <v>1429</v>
      </c>
      <c r="C63" s="77"/>
      <c r="D63" s="592">
        <f>D50</f>
        <v>51</v>
      </c>
      <c r="E63" s="77"/>
      <c r="F63" s="171">
        <f t="shared" si="0"/>
        <v>106080</v>
      </c>
      <c r="G63" s="77"/>
      <c r="H63" s="177"/>
    </row>
    <row r="64" spans="1:8" x14ac:dyDescent="0.25">
      <c r="A64" s="178"/>
      <c r="B64" s="73" t="s">
        <v>1430</v>
      </c>
      <c r="C64" s="77"/>
      <c r="D64" s="592">
        <f>D51</f>
        <v>39.51</v>
      </c>
      <c r="E64" s="77"/>
      <c r="F64" s="171">
        <f t="shared" si="0"/>
        <v>82180.800000000003</v>
      </c>
      <c r="G64" s="77"/>
      <c r="H64" s="177"/>
    </row>
    <row r="65" spans="1:8" x14ac:dyDescent="0.25">
      <c r="A65" s="178"/>
      <c r="B65" s="73" t="s">
        <v>1431</v>
      </c>
      <c r="C65" s="77"/>
      <c r="D65" s="592">
        <f>D52</f>
        <v>40</v>
      </c>
      <c r="E65" s="77"/>
      <c r="F65" s="171">
        <f t="shared" si="0"/>
        <v>83200</v>
      </c>
      <c r="G65" s="77"/>
      <c r="H65" s="177"/>
    </row>
    <row r="66" spans="1:8" x14ac:dyDescent="0.25">
      <c r="A66" s="178"/>
      <c r="B66" s="73" t="s">
        <v>1321</v>
      </c>
      <c r="C66" s="77"/>
      <c r="D66" s="592">
        <v>91.68</v>
      </c>
      <c r="E66" s="77"/>
      <c r="F66" s="171">
        <f t="shared" si="0"/>
        <v>190694.40000000002</v>
      </c>
      <c r="G66" s="77"/>
      <c r="H66" s="177"/>
    </row>
    <row r="67" spans="1:8" ht="15.75" thickBot="1" x14ac:dyDescent="0.3">
      <c r="A67" s="176"/>
      <c r="B67" s="175"/>
      <c r="C67" s="173"/>
      <c r="D67" s="601"/>
      <c r="E67" s="173"/>
      <c r="F67" s="174"/>
      <c r="G67" s="173"/>
      <c r="H67" s="172"/>
    </row>
    <row r="68" spans="1:8" x14ac:dyDescent="0.25">
      <c r="A68" s="73"/>
      <c r="B68" s="73"/>
      <c r="C68" s="77"/>
      <c r="D68" s="592"/>
      <c r="E68" s="77"/>
      <c r="F68" s="171"/>
      <c r="G68" s="77"/>
      <c r="H68" s="295"/>
    </row>
    <row r="69" spans="1:8" x14ac:dyDescent="0.25">
      <c r="A69" s="73"/>
      <c r="B69" s="73"/>
      <c r="C69" s="77"/>
      <c r="D69" s="595"/>
      <c r="E69" s="77"/>
      <c r="F69"/>
      <c r="G69" s="77"/>
      <c r="H69" s="295"/>
    </row>
    <row r="70" spans="1:8" x14ac:dyDescent="0.25">
      <c r="A70" s="73"/>
      <c r="B70" s="73"/>
      <c r="C70" s="77"/>
      <c r="D70" s="595"/>
      <c r="E70" s="77"/>
      <c r="F70"/>
      <c r="G70" s="77"/>
      <c r="H70" s="295"/>
    </row>
    <row r="71" spans="1:8" x14ac:dyDescent="0.25">
      <c r="A71" s="73"/>
      <c r="B71" s="73"/>
      <c r="C71" s="77"/>
      <c r="D71" s="595"/>
      <c r="E71" s="77"/>
      <c r="F71"/>
      <c r="G71" s="77"/>
      <c r="H71" s="295"/>
    </row>
    <row r="72" spans="1:8" x14ac:dyDescent="0.25">
      <c r="A72" s="73"/>
      <c r="B72" s="73"/>
      <c r="C72" s="77"/>
      <c r="D72" s="595"/>
      <c r="E72" s="77"/>
      <c r="F72"/>
      <c r="G72" s="77"/>
      <c r="H72" s="295"/>
    </row>
    <row r="73" spans="1:8" x14ac:dyDescent="0.25">
      <c r="A73" s="73"/>
      <c r="B73" s="73"/>
      <c r="C73" s="77"/>
      <c r="D73" s="595"/>
      <c r="E73" s="77"/>
      <c r="F73"/>
      <c r="G73" s="77"/>
      <c r="H73" s="295"/>
    </row>
    <row r="74" spans="1:8" x14ac:dyDescent="0.25">
      <c r="A74" s="73"/>
      <c r="B74" s="73"/>
      <c r="C74" s="77"/>
      <c r="D74" s="595"/>
      <c r="E74" s="77"/>
      <c r="F74"/>
      <c r="G74" s="77"/>
      <c r="H74" s="295"/>
    </row>
    <row r="75" spans="1:8" x14ac:dyDescent="0.25">
      <c r="A75" s="73"/>
      <c r="B75" s="73"/>
      <c r="C75" s="77"/>
      <c r="D75" s="595"/>
      <c r="E75" s="77"/>
      <c r="F75"/>
      <c r="G75" s="77"/>
      <c r="H75" s="295"/>
    </row>
    <row r="76" spans="1:8" x14ac:dyDescent="0.25">
      <c r="A76" s="73"/>
      <c r="B76" s="73"/>
      <c r="C76" s="77"/>
      <c r="D76" s="171"/>
      <c r="E76" s="77"/>
      <c r="F76"/>
      <c r="G76" s="77"/>
      <c r="H76" s="295"/>
    </row>
    <row r="77" spans="1:8" x14ac:dyDescent="0.25">
      <c r="A77" s="73"/>
      <c r="B77" s="73"/>
      <c r="C77" s="77"/>
      <c r="D77" s="295"/>
      <c r="E77" s="77"/>
      <c r="F77" s="171"/>
      <c r="G77" s="77"/>
      <c r="H77" s="295"/>
    </row>
    <row r="78" spans="1:8" x14ac:dyDescent="0.25">
      <c r="C78" s="500"/>
      <c r="D78" s="500"/>
      <c r="E78" s="500"/>
      <c r="F78" s="500"/>
      <c r="G78" s="500"/>
      <c r="H78" s="500"/>
    </row>
  </sheetData>
  <mergeCells count="5">
    <mergeCell ref="F5:G5"/>
    <mergeCell ref="H5:I5"/>
    <mergeCell ref="J5:K5"/>
    <mergeCell ref="A2:E2"/>
    <mergeCell ref="F2:I2"/>
  </mergeCells>
  <phoneticPr fontId="15" type="noConversion"/>
  <pageMargins left="0.25" right="0.25" top="0.75" bottom="0.75" header="0.3" footer="0.3"/>
  <pageSetup scale="57"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1496FB43613946ADB99B80F2611FFA" ma:contentTypeVersion="20" ma:contentTypeDescription="Create a new document." ma:contentTypeScope="" ma:versionID="f981367306641b557061e53d31bd12f3">
  <xsd:schema xmlns:xsd="http://www.w3.org/2001/XMLSchema" xmlns:xs="http://www.w3.org/2001/XMLSchema" xmlns:p="http://schemas.microsoft.com/office/2006/metadata/properties" xmlns:ns1="http://schemas.microsoft.com/sharepoint/v3" xmlns:ns2="ba9077b2-5ef6-4b39-985b-8fd97659196d" xmlns:ns3="628df063-7e97-4474-8c1e-ed281b310874" targetNamespace="http://schemas.microsoft.com/office/2006/metadata/properties" ma:root="true" ma:fieldsID="110d912be476eba696459ef6d08ac9c5" ns1:_="" ns2:_="" ns3:_="">
    <xsd:import namespace="http://schemas.microsoft.com/sharepoint/v3"/>
    <xsd:import namespace="ba9077b2-5ef6-4b39-985b-8fd97659196d"/>
    <xsd:import namespace="628df063-7e97-4474-8c1e-ed281b31087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element ref="ns2:CommentCaptur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9077b2-5ef6-4b39-985b-8fd9765919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CommentCaptured" ma:index="27" nillable="true" ma:displayName="Comment Captured" ma:format="Dropdown" ma:internalName="CommentCapture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28df063-7e97-4474-8c1e-ed281b31087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e1f1966-549c-40ec-8760-2f934d3fff41}" ma:internalName="TaxCatchAll" ma:showField="CatchAllData" ma:web="628df063-7e97-4474-8c1e-ed281b3108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628df063-7e97-4474-8c1e-ed281b310874" xsi:nil="true"/>
    <lcf76f155ced4ddcb4097134ff3c332f xmlns="ba9077b2-5ef6-4b39-985b-8fd97659196d">
      <Terms xmlns="http://schemas.microsoft.com/office/infopath/2007/PartnerControls"/>
    </lcf76f155ced4ddcb4097134ff3c332f>
    <SharedWithUsers xmlns="628df063-7e97-4474-8c1e-ed281b310874">
      <UserInfo>
        <DisplayName/>
        <AccountId xsi:nil="true"/>
        <AccountType/>
      </UserInfo>
    </SharedWithUsers>
    <CommentCaptured xmlns="ba9077b2-5ef6-4b39-985b-8fd97659196d" xsi:nil="true"/>
  </documentManagement>
</p:properties>
</file>

<file path=customXml/itemProps1.xml><?xml version="1.0" encoding="utf-8"?>
<ds:datastoreItem xmlns:ds="http://schemas.openxmlformats.org/officeDocument/2006/customXml" ds:itemID="{15EED473-EC3D-4D5D-AB9D-0FD5DE01A2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9077b2-5ef6-4b39-985b-8fd97659196d"/>
    <ds:schemaRef ds:uri="628df063-7e97-4474-8c1e-ed281b3108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9BD06D-BE77-4059-9E92-ABCD312C6F96}">
  <ds:schemaRefs>
    <ds:schemaRef ds:uri="http://schemas.microsoft.com/sharepoint/v3/contenttype/forms"/>
  </ds:schemaRefs>
</ds:datastoreItem>
</file>

<file path=customXml/itemProps3.xml><?xml version="1.0" encoding="utf-8"?>
<ds:datastoreItem xmlns:ds="http://schemas.openxmlformats.org/officeDocument/2006/customXml" ds:itemID="{100A9013-85E7-4B7F-A9F9-E8395CDEB240}">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purl.org/dc/dcmitype/"/>
    <ds:schemaRef ds:uri="628df063-7e97-4474-8c1e-ed281b310874"/>
    <ds:schemaRef ds:uri="http://schemas.microsoft.com/sharepoint/v3"/>
    <ds:schemaRef ds:uri="http://purl.org/dc/elements/1.1/"/>
    <ds:schemaRef ds:uri="ba9077b2-5ef6-4b39-985b-8fd97659196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Summary</vt:lpstr>
      <vt:lpstr>Description</vt:lpstr>
      <vt:lpstr>AcreageTracking-MAP</vt:lpstr>
      <vt:lpstr>1-Facilities</vt:lpstr>
      <vt:lpstr>2-Earthmoving</vt:lpstr>
      <vt:lpstr>3-Revegetation</vt:lpstr>
      <vt:lpstr>4-Other</vt:lpstr>
      <vt:lpstr>5-Long-Term</vt:lpstr>
      <vt:lpstr>Labor Rates 2025</vt:lpstr>
      <vt:lpstr>Equipment Rates 2025</vt:lpstr>
      <vt:lpstr>Graphs</vt:lpstr>
      <vt:lpstr>'1-Facilities'!Print_Area</vt:lpstr>
      <vt:lpstr>'2-Earthmoving'!Print_Area</vt:lpstr>
      <vt:lpstr>'3-Revegetation'!Print_Area</vt:lpstr>
      <vt:lpstr>'4-Other'!Print_Area</vt:lpstr>
      <vt:lpstr>'5-Long-Term'!Print_Area</vt:lpstr>
      <vt:lpstr>Description!Print_Area</vt:lpstr>
      <vt:lpstr>'Equipment Rates 2025'!Print_Area</vt:lpstr>
      <vt:lpstr>Summary!Print_Area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Abelmann, Christine</dc:creator>
  <cp:keywords/>
  <dc:description/>
  <cp:lastModifiedBy>Smith, Garrett</cp:lastModifiedBy>
  <cp:revision/>
  <cp:lastPrinted>2026-05-04T17:03:09Z</cp:lastPrinted>
  <dcterms:created xsi:type="dcterms:W3CDTF">2023-01-04T17:26:07Z</dcterms:created>
  <dcterms:modified xsi:type="dcterms:W3CDTF">2026-05-04T17:03:17Z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0x010100D81496FB43613946ADB99B80F2611FFA</vt:lpwstr>
  </property>
  <property fmtid="{D5CDD505-2E9C-101B-9397-08002B2CF9AE}" pid="3" name="MediaServiceImageTags">
    <vt:lpwstr/>
  </property>
  <property fmtid="{D5CDD505-2E9C-101B-9397-08002B2CF9AE}" pid="4" name="Order">
    <vt:lpwstr>3644100.00000000</vt:lpwstr>
  </property>
  <property fmtid="{D5CDD505-2E9C-101B-9397-08002B2CF9AE}" pid="5" name="Deleteme?0">
    <vt:lpwstr>true</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Deleteme?">
    <vt:lpwstr>true</vt:lpwstr>
  </property>
  <property fmtid="{D5CDD505-2E9C-101B-9397-08002B2CF9AE}" pid="12" name="xd_Signature">
    <vt:lpwstr/>
  </property>
</Properties>
</file>